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ann+RSZkiGQJ8Bx/7/VJ8Hbn2p+wOsophWlM2yDH1c4ctVv2gY8z9UH5WMqQJg1e0nEECnHzzZWTXTGtUSzPw==" workbookSaltValue="ia2BzOtbT/YaS22//ndf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T14" i="20"/>
  <c r="BB26" i="13"/>
  <c r="BF16" i="8"/>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F14" i="7"/>
  <c r="F28"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BF23" i="13"/>
  <c r="BL9" i="11"/>
  <c r="BH21" i="16"/>
  <c r="BF11" i="11"/>
  <c r="X12" i="2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AA11" i="16"/>
  <c r="L9" i="2"/>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Q17" i="11"/>
  <c r="E31" i="2"/>
  <c r="AL31" i="2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<sst xmlns="http://schemas.openxmlformats.org/spreadsheetml/2006/main" count="2682" uniqueCount="1193">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</sst>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l+GOty7f4s7YMdrEKfSN/LzRHYBj3WrC+zUPUS4A8Vm7LGXhfkS/QlmVNWC04f6R3UGctbT0jG4V602ZW3Mg==" saltValue="08bxzfeeyMH4IlrAIQPn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0</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21.728767123287671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910</v>
      </c>
      <c r="D17" s="239">
        <f>IF(ISNUMBER(IF(D_I="SI",Datos!I17,Datos!I17+Datos!AC17)),IF(D_I="SI",Datos!I17,Datos!I17+Datos!AC17)," - ")</f>
        <v>910</v>
      </c>
      <c r="E17" s="240">
        <f>IF(ISNUMBER(IF(D_I="SI",Datos!J17,Datos!J17+Datos!AD17)),IF(D_I="SI",Datos!J17,Datos!J17+Datos!AD17)," - ")</f>
        <v>700</v>
      </c>
      <c r="F17" s="240">
        <f>IF(ISNUMBER(IF(D_I="SI",Datos!K17,Datos!K17+Datos!AE17)),IF(D_I="SI",Datos!K17,Datos!K17+Datos!AE17)," - ")</f>
        <v>596</v>
      </c>
      <c r="G17" s="1390" t="str">
        <f>IF(Datos!E17&lt;&gt;"",Datos!E17,Datos!D17)</f>
        <v>04</v>
      </c>
      <c r="H17" s="241">
        <f>IF(ISNUMBER(IF(D_I="SI",Datos!L17,Datos!L17+Datos!AF17)),IF(D_I="SI",Datos!L17,Datos!L17+Datos!AF17)," - ")</f>
        <v>1014</v>
      </c>
      <c r="I17" s="1400" t="str">
        <f>IF(ISNUMBER(Datos!AS17/Datos!BM17),Datos!AS17/Datos!BM17," - ")</f>
        <v xml:space="preserve"> - </v>
      </c>
      <c r="J17" s="1401">
        <f>IF(ISNUMBER(Datos!BY17/Datos!CN17),Datos!BY17/Datos!CN17," - ")</f>
        <v>0</v>
      </c>
      <c r="K17" s="244">
        <f t="shared" si="3"/>
        <v>0.11428571428571428</v>
      </c>
      <c r="L17" s="1402">
        <f>IF(ISNUMBER(NºAsuntos!I17/NºAsuntos!G17),(NºAsuntos!I17/NºAsuntos!G17)*11," - ")</f>
        <v>18.714765100671141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57</v>
      </c>
      <c r="F18" s="240">
        <f>IF(ISNUMBER(IF(D_I="SI",Datos!K18,Datos!K18+Datos!AE18)),IF(D_I="SI",Datos!K18,Datos!K18+Datos!AE18)," - ")</f>
        <v>44</v>
      </c>
      <c r="G18" s="1390" t="str">
        <f>IF(Datos!E18&lt;&gt;"",Datos!E18,Datos!D18)</f>
        <v>37</v>
      </c>
      <c r="H18" s="241">
        <f>IF(ISNUMBER(IF(D_I="SI",Datos!L18,Datos!L18+Datos!AF18)),IF(D_I="SI",Datos!L18,Datos!L18+Datos!AF18)," - ")</f>
        <v>71</v>
      </c>
      <c r="I18" s="1400" t="str">
        <f>IF(ISNUMBER(Datos!AS18/Datos!BM18),Datos!AS18/Datos!BM18," - ")</f>
        <v xml:space="preserve"> - </v>
      </c>
      <c r="J18" s="1401" t="str">
        <f>IF(ISNUMBER((Datos!BY18+Datos!BZ18)/Datos!CN18),(Datos!BY18+Datos!BZ18)/Datos!CN18," - ")</f>
        <v xml:space="preserve"> - </v>
      </c>
      <c r="K18" s="244">
        <f t="shared" si="3"/>
        <v>0.22413793103448276</v>
      </c>
      <c r="L18" s="1402">
        <f>IF(ISNUMBER(NºAsuntos!I18/NºAsuntos!G18),(NºAsuntos!I18/NºAsuntos!G18)*11," - ")</f>
        <v>17.75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968</v>
      </c>
      <c r="D23" s="1407">
        <f>SUBTOTAL(9,D16:D22)</f>
        <v>968</v>
      </c>
      <c r="E23" s="1408">
        <f>SUBTOTAL(9,E16:E22)</f>
        <v>757</v>
      </c>
      <c r="F23" s="1408">
        <f>SUBTOTAL(9,F16:F22)</f>
        <v>640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973</v>
      </c>
      <c r="D31" s="1435">
        <f>SUBTOTAL(9,D9:D30)</f>
        <v>973</v>
      </c>
      <c r="E31" s="1436">
        <f>SUBTOTAL(9,E9:E30)</f>
        <v>760</v>
      </c>
      <c r="F31" s="1436">
        <f>SUBTOTAL(9,F9:F30)</f>
        <v>640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Q0xyyIkY8oPDEn66MuFQtyfiptn/mIlUpMYKyNbsyhRH8sddLINolY1AsgkLg7P9+jrTVzzBHo3mZEZbCk7KA==" saltValue="0PsgPfdJJE6X2/WTvlW+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4qDp6gjUOrgeh14QYgaVVnTIgSOZ85rVL2CxMgWjOSO9J3modKd1bXUnWvW0tVRQHyhd70Kdo3lhXQS0T49UA==" saltValue="EjDBZu9JAOCG0TweAMc3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0</v>
      </c>
      <c r="L10" s="194">
        <v>8</v>
      </c>
      <c r="M10" s="194">
        <v>0</v>
      </c>
      <c r="N10" s="194">
        <v>0</v>
      </c>
      <c r="O10" s="194">
        <v>0</v>
      </c>
      <c r="P10" s="194">
        <v>0</v>
      </c>
      <c r="Q10" s="194">
        <v>0</v>
      </c>
      <c r="R10" s="194">
        <v>0</v>
      </c>
      <c r="S10" s="194">
        <v>8</v>
      </c>
      <c r="T10" s="194">
        <v>4</v>
      </c>
      <c r="U10" s="194">
        <v>2</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2</v>
      </c>
      <c r="BB10" s="139">
        <f t="shared" si="0"/>
        <v>10</v>
      </c>
      <c r="BC10" s="135">
        <f t="shared" si="0"/>
        <v>0</v>
      </c>
      <c r="BD10" s="136">
        <f>IF(ISNUMBER(BA10/AZ10),BA10/AZ10," - ")</f>
        <v>0.5</v>
      </c>
      <c r="BE10" s="137">
        <f>IF(ISNUMBER(BB10/BA10),BB10/BA10, " - ")</f>
        <v>5</v>
      </c>
      <c r="BF10" s="137">
        <f>IF(ISNUMBER(BC10/BA10),BC10/BA10, " - ")</f>
        <v>0</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1349</v>
      </c>
      <c r="J12" s="196">
        <v>618</v>
      </c>
      <c r="K12" s="196">
        <v>662</v>
      </c>
      <c r="L12" s="196">
        <v>1305</v>
      </c>
      <c r="M12" s="196">
        <v>121</v>
      </c>
      <c r="N12" s="196">
        <v>278</v>
      </c>
      <c r="O12" s="194">
        <v>368</v>
      </c>
      <c r="P12" s="196">
        <v>148</v>
      </c>
      <c r="Q12" s="196">
        <v>92</v>
      </c>
      <c r="R12" s="196">
        <v>3147</v>
      </c>
      <c r="S12" s="196">
        <v>1210</v>
      </c>
      <c r="T12" s="196">
        <v>456</v>
      </c>
      <c r="U12" s="196">
        <v>470</v>
      </c>
      <c r="V12" s="196">
        <v>1196</v>
      </c>
      <c r="W12" s="196">
        <v>93</v>
      </c>
      <c r="X12" s="202">
        <v>229</v>
      </c>
      <c r="Y12" s="204">
        <v>126</v>
      </c>
      <c r="Z12" s="194">
        <v>79</v>
      </c>
      <c r="AA12" s="194">
        <v>68</v>
      </c>
      <c r="AB12" s="194">
        <v>137</v>
      </c>
      <c r="AC12" s="196">
        <v>0</v>
      </c>
      <c r="AD12" s="196">
        <v>0</v>
      </c>
      <c r="AE12" s="196">
        <v>0</v>
      </c>
      <c r="AF12" s="202">
        <v>0</v>
      </c>
      <c r="AG12" s="215">
        <v>151</v>
      </c>
      <c r="AH12" s="196">
        <v>81</v>
      </c>
      <c r="AI12" s="196">
        <v>70</v>
      </c>
      <c r="AJ12" s="216">
        <v>162</v>
      </c>
      <c r="AK12" s="195">
        <v>0</v>
      </c>
      <c r="AL12" s="196">
        <v>0</v>
      </c>
      <c r="AM12" s="196">
        <v>0</v>
      </c>
      <c r="AN12" s="202">
        <v>0</v>
      </c>
      <c r="AO12" s="283">
        <v>3</v>
      </c>
      <c r="AP12" s="168">
        <v>3</v>
      </c>
      <c r="AQ12" s="168">
        <v>3</v>
      </c>
      <c r="AR12" s="167">
        <v>3</v>
      </c>
      <c r="AS12" s="381" t="s">
        <v>1075</v>
      </c>
      <c r="AT12" s="216"/>
      <c r="AU12" s="215"/>
      <c r="AV12" s="216"/>
      <c r="AW12" s="215"/>
      <c r="AX12" s="216"/>
      <c r="AY12" s="136">
        <f t="shared" si="1"/>
        <v>1361</v>
      </c>
      <c r="AZ12" s="137">
        <f t="shared" si="1"/>
        <v>537</v>
      </c>
      <c r="BA12" s="137">
        <f t="shared" si="1"/>
        <v>540</v>
      </c>
      <c r="BB12" s="137">
        <f t="shared" si="1"/>
        <v>1358</v>
      </c>
      <c r="BC12" s="135">
        <f>IF(ISNUMBER(X12),X12," - ")</f>
        <v>229</v>
      </c>
      <c r="BD12" s="136">
        <f t="shared" si="2"/>
        <v>1.005586592178771</v>
      </c>
      <c r="BE12" s="137">
        <f t="shared" si="3"/>
        <v>2.5148148148148146</v>
      </c>
      <c r="BF12" s="137">
        <f t="shared" si="4"/>
        <v>0.42407407407407405</v>
      </c>
      <c r="BG12" s="209">
        <f t="shared" si="5"/>
        <v>3.5148148148148146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1354</v>
      </c>
      <c r="J14" s="197">
        <f t="shared" si="7"/>
        <v>621</v>
      </c>
      <c r="K14" s="197">
        <f t="shared" si="7"/>
        <v>662</v>
      </c>
      <c r="L14" s="197">
        <f t="shared" si="7"/>
        <v>1313</v>
      </c>
      <c r="M14" s="197">
        <f t="shared" si="7"/>
        <v>121</v>
      </c>
      <c r="N14" s="197">
        <f t="shared" si="7"/>
        <v>278</v>
      </c>
      <c r="O14" s="197">
        <f t="shared" si="7"/>
        <v>368</v>
      </c>
      <c r="P14" s="197">
        <f t="shared" si="7"/>
        <v>148</v>
      </c>
      <c r="Q14" s="197">
        <f t="shared" si="7"/>
        <v>92</v>
      </c>
      <c r="R14" s="197">
        <f t="shared" si="7"/>
        <v>3147</v>
      </c>
      <c r="S14" s="197">
        <f t="shared" si="7"/>
        <v>1218</v>
      </c>
      <c r="T14" s="197">
        <f t="shared" si="7"/>
        <v>460</v>
      </c>
      <c r="U14" s="197">
        <f t="shared" si="7"/>
        <v>472</v>
      </c>
      <c r="V14" s="197">
        <f t="shared" si="7"/>
        <v>1206</v>
      </c>
      <c r="W14" s="197">
        <f t="shared" si="7"/>
        <v>93</v>
      </c>
      <c r="X14" s="197">
        <f t="shared" si="7"/>
        <v>229</v>
      </c>
      <c r="Y14" s="197">
        <f t="shared" si="7"/>
        <v>126</v>
      </c>
      <c r="Z14" s="197">
        <f t="shared" si="7"/>
        <v>79</v>
      </c>
      <c r="AA14" s="197">
        <f t="shared" si="7"/>
        <v>68</v>
      </c>
      <c r="AB14" s="197">
        <f t="shared" si="7"/>
        <v>137</v>
      </c>
      <c r="AC14" s="197">
        <f t="shared" si="7"/>
        <v>0</v>
      </c>
      <c r="AD14" s="197">
        <f t="shared" si="7"/>
        <v>0</v>
      </c>
      <c r="AE14" s="197">
        <f t="shared" si="7"/>
        <v>0</v>
      </c>
      <c r="AF14" s="197">
        <f>SUBTOTAL(9,AF9:AF13)</f>
        <v>0</v>
      </c>
      <c r="AG14" s="197">
        <f t="shared" ref="AG14:AT14" si="8">SUBTOTAL(9,AG8:AG13)</f>
        <v>151</v>
      </c>
      <c r="AH14" s="197">
        <f t="shared" si="8"/>
        <v>81</v>
      </c>
      <c r="AI14" s="197">
        <f t="shared" si="8"/>
        <v>70</v>
      </c>
      <c r="AJ14" s="197">
        <f t="shared" si="8"/>
        <v>162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1369</v>
      </c>
      <c r="AZ14" s="197">
        <f>SUBTOTAL(9,AZ8:AZ13)</f>
        <v>541</v>
      </c>
      <c r="BA14" s="197">
        <f>SUBTOTAL(9,BA8:BA13)</f>
        <v>542</v>
      </c>
      <c r="BB14" s="197">
        <f>SUBTOTAL(9,BB8:BB13)</f>
        <v>1368</v>
      </c>
      <c r="BC14" s="197">
        <f>SUBTOTAL(9,BC8:BC13)</f>
        <v>229</v>
      </c>
      <c r="BD14" s="219">
        <f>IF(ISNUMBER(BA14/AZ14),BA14/AZ14," - ")</f>
        <v>1.0018484288354899</v>
      </c>
      <c r="BE14" s="220">
        <f>IF(ISNUMBER(BB14/BA14),BB14/BA14, " - ")</f>
        <v>2.5239852398523985</v>
      </c>
      <c r="BF14" s="220">
        <f>IF(ISNUMBER(BC14/BA14),BC14/BA14, " - ")</f>
        <v>0.42250922509225092</v>
      </c>
      <c r="BG14" s="221">
        <f>IF(ISNUMBER((AY14+AZ14)/BA14),(AY14+AZ14)/BA14," - ")</f>
        <v>3.5239852398523985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910</v>
      </c>
      <c r="J17" s="196">
        <v>700</v>
      </c>
      <c r="K17" s="196">
        <v>596</v>
      </c>
      <c r="L17" s="196">
        <v>1014</v>
      </c>
      <c r="M17" s="196">
        <v>86</v>
      </c>
      <c r="N17" s="196">
        <v>330</v>
      </c>
      <c r="O17" s="194">
        <v>6</v>
      </c>
      <c r="P17" s="196">
        <v>35</v>
      </c>
      <c r="Q17" s="196">
        <v>19</v>
      </c>
      <c r="R17" s="196">
        <v>155</v>
      </c>
      <c r="S17" s="196">
        <v>848</v>
      </c>
      <c r="T17" s="196">
        <v>702</v>
      </c>
      <c r="U17" s="196">
        <v>683</v>
      </c>
      <c r="V17" s="196">
        <v>867</v>
      </c>
      <c r="W17" s="196">
        <v>79</v>
      </c>
      <c r="X17" s="202">
        <v>355</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3</v>
      </c>
      <c r="AP17" s="168">
        <v>3</v>
      </c>
      <c r="AQ17" s="168">
        <v>3</v>
      </c>
      <c r="AR17" s="168">
        <v>3</v>
      </c>
      <c r="AS17" s="381" t="s">
        <v>650</v>
      </c>
      <c r="AT17" s="216"/>
      <c r="AU17" s="215"/>
      <c r="AV17" s="216"/>
      <c r="AW17" s="215"/>
      <c r="AX17" s="216"/>
      <c r="AY17" s="136">
        <f t="shared" si="10"/>
        <v>848</v>
      </c>
      <c r="AZ17" s="137">
        <f t="shared" si="10"/>
        <v>702</v>
      </c>
      <c r="BA17" s="137">
        <f t="shared" si="10"/>
        <v>683</v>
      </c>
      <c r="BB17" s="137">
        <f t="shared" si="10"/>
        <v>867</v>
      </c>
      <c r="BC17" s="135">
        <f>IF(ISNUMBER(W17),W17," - ")</f>
        <v>79</v>
      </c>
      <c r="BD17" s="136">
        <f t="shared" ref="BD17:BD22" si="12">IF(ISNUMBER(BA17/AZ17),BA17/AZ17," - ")</f>
        <v>0.97293447293447288</v>
      </c>
      <c r="BE17" s="137">
        <f t="shared" ref="BE17:BE22" si="13">IF(ISNUMBER(BB17/BA17),BB17/BA17, " - ")</f>
        <v>1.2693997071742313</v>
      </c>
      <c r="BF17" s="137">
        <f t="shared" ref="BF17:BF22" si="14">IF(ISNUMBER(BC17/BA17),BC17/BA17, " - ")</f>
        <v>0.11566617862371889</v>
      </c>
      <c r="BG17" s="209">
        <f t="shared" si="11"/>
        <v>2.2693997071742311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57</v>
      </c>
      <c r="K18" s="196">
        <v>44</v>
      </c>
      <c r="L18" s="196">
        <v>71</v>
      </c>
      <c r="M18" s="196">
        <v>8</v>
      </c>
      <c r="N18" s="196">
        <v>25</v>
      </c>
      <c r="O18" s="196">
        <v>0</v>
      </c>
      <c r="P18" s="196">
        <v>0</v>
      </c>
      <c r="Q18" s="196">
        <v>2</v>
      </c>
      <c r="R18" s="196">
        <v>0</v>
      </c>
      <c r="S18" s="196">
        <v>84</v>
      </c>
      <c r="T18" s="196">
        <v>39</v>
      </c>
      <c r="U18" s="196">
        <v>52</v>
      </c>
      <c r="V18" s="196">
        <v>71</v>
      </c>
      <c r="W18" s="196">
        <v>6</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84</v>
      </c>
      <c r="AZ18" s="139">
        <f t="shared" si="15"/>
        <v>39</v>
      </c>
      <c r="BA18" s="139">
        <f t="shared" si="15"/>
        <v>52</v>
      </c>
      <c r="BB18" s="139">
        <f t="shared" si="15"/>
        <v>71</v>
      </c>
      <c r="BC18" s="135">
        <f>IF(ISNUMBER(W18),W18," - ")</f>
        <v>6</v>
      </c>
      <c r="BD18" s="136">
        <f>IF(ISNUMBER(BA18/AZ18),BA18/AZ18," - ")</f>
        <v>1.3333333333333333</v>
      </c>
      <c r="BE18" s="137">
        <f>IF(ISNUMBER(BB18/BA18),BB18/BA18, " - ")</f>
        <v>1.3653846153846154</v>
      </c>
      <c r="BF18" s="137">
        <f>IF(ISNUMBER(BC18/BA18),BC18/BA18, " - ")</f>
        <v>0.11538461538461539</v>
      </c>
      <c r="BG18" s="209">
        <f>IF(ISNUMBER((AY18+AZ18)/BA18),(AY18+AZ18)/BA18," - ")</f>
        <v>2.3653846153846154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968</v>
      </c>
      <c r="J23" s="197">
        <f t="shared" si="21"/>
        <v>757</v>
      </c>
      <c r="K23" s="197">
        <f t="shared" si="21"/>
        <v>640</v>
      </c>
      <c r="L23" s="197">
        <f t="shared" si="21"/>
        <v>1085</v>
      </c>
      <c r="M23" s="197">
        <f t="shared" si="21"/>
        <v>94</v>
      </c>
      <c r="N23" s="197">
        <f t="shared" si="21"/>
        <v>355</v>
      </c>
      <c r="O23" s="197">
        <f t="shared" si="21"/>
        <v>6</v>
      </c>
      <c r="P23" s="197">
        <f t="shared" si="21"/>
        <v>35</v>
      </c>
      <c r="Q23" s="197">
        <f t="shared" si="21"/>
        <v>21</v>
      </c>
      <c r="R23" s="197">
        <f t="shared" si="21"/>
        <v>155</v>
      </c>
      <c r="S23" s="197">
        <f t="shared" si="21"/>
        <v>932</v>
      </c>
      <c r="T23" s="197">
        <f t="shared" si="21"/>
        <v>741</v>
      </c>
      <c r="U23" s="197">
        <f t="shared" si="21"/>
        <v>735</v>
      </c>
      <c r="V23" s="197">
        <f t="shared" si="21"/>
        <v>938</v>
      </c>
      <c r="W23" s="197">
        <f t="shared" si="21"/>
        <v>85</v>
      </c>
      <c r="X23" s="197">
        <f t="shared" si="21"/>
        <v>408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932</v>
      </c>
      <c r="AZ23" s="197">
        <f>SUBTOTAL(9,AZ15:AZ22)</f>
        <v>741</v>
      </c>
      <c r="BA23" s="197">
        <f>SUBTOTAL(9,BA15:BA22)</f>
        <v>735</v>
      </c>
      <c r="BB23" s="197">
        <f>SUBTOTAL(9,BB15:BB22)</f>
        <v>938</v>
      </c>
      <c r="BC23" s="197">
        <f>SUBTOTAL(9,BC15:BC22)</f>
        <v>85</v>
      </c>
      <c r="BD23" s="219">
        <f>IF(ISNUMBER(BA23/AZ23),BA23/AZ23," - ")</f>
        <v>0.9919028340080972</v>
      </c>
      <c r="BE23" s="220">
        <f>IF(ISNUMBER(BB23/BA23),BB23/BA23, " - ")</f>
        <v>1.2761904761904761</v>
      </c>
      <c r="BF23" s="220">
        <f>IF(ISNUMBER(BC23/BA23),BC23/BA23, " - ")</f>
        <v>0.11564625850340136</v>
      </c>
      <c r="BG23" s="221">
        <f>IF(ISNUMBER((AY23+AZ23)/BA23),(AY23+AZ23)/BA23," - ")</f>
        <v>2.2761904761904761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2322</v>
      </c>
      <c r="J31" s="144">
        <f t="shared" si="36"/>
        <v>1378</v>
      </c>
      <c r="K31" s="144">
        <f t="shared" si="36"/>
        <v>1302</v>
      </c>
      <c r="L31" s="144">
        <f t="shared" si="36"/>
        <v>2398</v>
      </c>
      <c r="M31" s="144">
        <f t="shared" si="36"/>
        <v>215</v>
      </c>
      <c r="N31" s="144">
        <f t="shared" si="36"/>
        <v>633</v>
      </c>
      <c r="O31" s="144">
        <f t="shared" si="36"/>
        <v>374</v>
      </c>
      <c r="P31" s="144">
        <f t="shared" si="36"/>
        <v>183</v>
      </c>
      <c r="Q31" s="144">
        <f t="shared" si="36"/>
        <v>113</v>
      </c>
      <c r="R31" s="144">
        <f t="shared" si="36"/>
        <v>3302</v>
      </c>
      <c r="S31" s="144">
        <f t="shared" si="36"/>
        <v>2150</v>
      </c>
      <c r="T31" s="144">
        <f t="shared" si="36"/>
        <v>1201</v>
      </c>
      <c r="U31" s="144">
        <f t="shared" si="36"/>
        <v>1207</v>
      </c>
      <c r="V31" s="144">
        <f t="shared" si="36"/>
        <v>2144</v>
      </c>
      <c r="W31" s="144">
        <f t="shared" si="36"/>
        <v>178</v>
      </c>
      <c r="X31" s="144">
        <f t="shared" si="36"/>
        <v>637</v>
      </c>
      <c r="Y31" s="144">
        <f t="shared" si="36"/>
        <v>126</v>
      </c>
      <c r="Z31" s="144">
        <f t="shared" si="36"/>
        <v>79</v>
      </c>
      <c r="AA31" s="144">
        <f t="shared" si="36"/>
        <v>68</v>
      </c>
      <c r="AB31" s="144">
        <f t="shared" si="36"/>
        <v>137</v>
      </c>
      <c r="AC31" s="144">
        <f t="shared" si="36"/>
        <v>0</v>
      </c>
      <c r="AD31" s="144">
        <f t="shared" si="36"/>
        <v>0</v>
      </c>
      <c r="AE31" s="144">
        <f t="shared" si="36"/>
        <v>0</v>
      </c>
      <c r="AF31" s="144">
        <f t="shared" si="36"/>
        <v>0</v>
      </c>
      <c r="AG31" s="144">
        <f t="shared" si="36"/>
        <v>151</v>
      </c>
      <c r="AH31" s="144">
        <f t="shared" si="36"/>
        <v>81</v>
      </c>
      <c r="AI31" s="144">
        <f t="shared" si="36"/>
        <v>70</v>
      </c>
      <c r="AJ31" s="144">
        <f t="shared" si="36"/>
        <v>162</v>
      </c>
      <c r="AK31" s="144">
        <f t="shared" si="36"/>
        <v>0</v>
      </c>
      <c r="AL31" s="144">
        <f t="shared" si="36"/>
        <v>3</v>
      </c>
      <c r="AM31" s="144">
        <f t="shared" si="36"/>
        <v>3</v>
      </c>
      <c r="AN31" s="224">
        <f t="shared" si="36"/>
        <v>0</v>
      </c>
      <c r="AO31" s="225">
        <v>4</v>
      </c>
      <c r="AP31" s="225">
        <v>3</v>
      </c>
      <c r="AQ31" s="225">
        <v>3</v>
      </c>
      <c r="AR31" s="225">
        <v>3</v>
      </c>
      <c r="AS31" s="166">
        <f t="shared" si="36"/>
        <v>0</v>
      </c>
      <c r="AT31" s="166">
        <f t="shared" si="36"/>
        <v>0</v>
      </c>
      <c r="AU31" s="225"/>
      <c r="AV31" s="226"/>
      <c r="AW31" s="225"/>
      <c r="AX31" s="226"/>
      <c r="AY31" s="143">
        <f>SUBTOTAL(9,AY9:AY30)</f>
        <v>2301</v>
      </c>
      <c r="AZ31" s="144">
        <f>SUBTOTAL(9,AZ9:AZ30)</f>
        <v>1282</v>
      </c>
      <c r="BA31" s="144">
        <f>SUBTOTAL(9,BA9:BA30)</f>
        <v>1277</v>
      </c>
      <c r="BB31" s="144">
        <f>SUBTOTAL(9,BB9:BB30)</f>
        <v>2306</v>
      </c>
      <c r="BC31" s="145">
        <f>SUBTOTAL(9,BC9:BC30)</f>
        <v>314</v>
      </c>
      <c r="BD31" s="227">
        <f>IF(ISNUMBER(BA31/AZ31),BA31/AZ31," - ")</f>
        <v>0.99609984399375973</v>
      </c>
      <c r="BE31" s="224">
        <f>IF(ISNUMBER(BB31/BA31),BB31/BA31, " - ")</f>
        <v>1.8057948316366483</v>
      </c>
      <c r="BF31" s="224">
        <f>IF(ISNUMBER(BC31/BA31),BC31/BA31, " - ")</f>
        <v>0.24588880187940484</v>
      </c>
      <c r="BG31" s="145">
        <f>IF(ISNUMBER((AY31+AZ31)/BA31),(AY31+AZ31)/BA31," - ")</f>
        <v>2.8057948316366486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TH6SaSPPmxUiaFMrdI27cWWVigT322sT9d5dhotHbgp+e058wLH+UBXd4bbM6q8ovvDZqU1V1dzyh+nKU+Lw==" saltValue="afFi6rTXdhgy+HpVNQ48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9nDrs2W/ZnZF3hsSrrV7dyRs0J5zR5tZ6hBF562e8hTUJAGXzopbQkBMcgACxiDLyclA0rR1Yn2Ro8FPeCAA==" saltValue="kWFIxDq2fk1CKTh2MkV1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PICASSENT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148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3147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278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1.0473457675753228</v>
      </c>
      <c r="BH12" s="764">
        <f>IF(ISNUMBER(((IF(J_V="SI",Datos!L12/Datos!K12,(Datos!L12+Datos!AB12)/(Datos!K12+Datos!AA12)))*11)/factor_trimestre),((IF(J_V="SI",Datos!L12/Datos!K12,(Datos!L12+Datos!AB12)/(Datos!K12+Datos!AA12)))*11)/factor_trimestre," - ")</f>
        <v>3.9506849315068493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1.8117114202523456E-2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148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92</v>
      </c>
      <c r="AD14" s="1198">
        <f t="shared" si="2"/>
        <v>0</v>
      </c>
      <c r="AE14" s="1198">
        <f t="shared" si="2"/>
        <v>0</v>
      </c>
      <c r="AF14" s="1198">
        <f t="shared" si="2"/>
        <v>8</v>
      </c>
      <c r="AG14" s="1198">
        <f t="shared" si="2"/>
        <v>0</v>
      </c>
      <c r="AH14" s="1198">
        <f t="shared" si="2"/>
        <v>137</v>
      </c>
      <c r="AI14" s="1198">
        <f t="shared" si="2"/>
        <v>0</v>
      </c>
      <c r="AJ14" s="1198">
        <f t="shared" si="2"/>
        <v>0</v>
      </c>
      <c r="AK14" s="1198">
        <f t="shared" si="2"/>
        <v>0</v>
      </c>
      <c r="AL14" s="1198">
        <f t="shared" si="2"/>
        <v>0</v>
      </c>
      <c r="AM14" s="1198">
        <f t="shared" si="2"/>
        <v>3147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121</v>
      </c>
      <c r="BD14" s="1198">
        <f t="shared" si="2"/>
        <v>278</v>
      </c>
      <c r="BE14" s="1198">
        <f t="shared" si="2"/>
        <v>0</v>
      </c>
      <c r="BF14" s="1198">
        <f t="shared" si="2"/>
        <v>0</v>
      </c>
      <c r="BG14" s="1198">
        <f>IF(ISNUMBER(Datos!K14/Datos!J14),Datos!K14/Datos!J14," - ")</f>
        <v>1.0660225442834139</v>
      </c>
      <c r="BH14" s="1202">
        <f>IF(ISNUMBER(((Datos!L14/Datos!K14)*11)/factor_trimestre),((Datos!L14/Datos!K14)*11)/factor_trimestre," - ")</f>
        <v>3.966767371601208</v>
      </c>
      <c r="BI14" s="1198">
        <f>IF(ISNUMBER('Resol  Asuntos'!D14/NºAsuntos!G14),'Resol  Asuntos'!D14/NºAsuntos!G14," - ")</f>
        <v>0.16575342465753426</v>
      </c>
      <c r="BJ14" s="1198" t="str">
        <f>IF(ISNUMBER(Datos!CI14/Datos!CJ14),Datos!CI14/Datos!CJ14," - ")</f>
        <v xml:space="preserve"> - </v>
      </c>
      <c r="BK14" s="1198">
        <f>SUBTOTAL(9,BK8:BK13)</f>
        <v>0</v>
      </c>
      <c r="BL14" s="1198">
        <f>IF(ISNUMBER((I14-AB14+L14)/(F14)),(I14-AB14+L14)/(F14)," - ")</f>
        <v>0</v>
      </c>
      <c r="BM14" s="1203">
        <f>SUBTOTAL(9,BM9:BM13)</f>
        <v>1.8117114202523456E-2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910</v>
      </c>
      <c r="G17" s="743">
        <f>IF(ISNUMBER(IF(D_I="SI",Datos!I17,Datos!I17+Datos!AC17)),IF(D_I="SI",Datos!I17,Datos!I17+Datos!AC17)," - ")</f>
        <v>910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596</v>
      </c>
      <c r="AC17" s="240">
        <f>IF(ISNUMBER(Datos!Q17),Datos!Q17," - ")</f>
        <v>19</v>
      </c>
      <c r="AD17" s="374"/>
      <c r="AE17" s="562"/>
      <c r="AF17" s="741">
        <f>IF(ISNUMBER(IF(D_I="SI",Datos!L17,Datos!L17+Datos!AF17)),IF(D_I="SI",Datos!L17,Datos!L17+Datos!AF17)," - ")</f>
        <v>1014</v>
      </c>
      <c r="AG17" s="374"/>
      <c r="AH17" s="374"/>
      <c r="AI17" s="374"/>
      <c r="AJ17" s="549"/>
      <c r="AK17" s="374"/>
      <c r="AL17" s="545"/>
      <c r="AM17" s="375">
        <f>IF(ISNUMBER(Datos!R17),Datos!R17," - ")</f>
        <v>155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330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0.85142857142857142</v>
      </c>
      <c r="BH17" s="764">
        <f>IF(ISNUMBER(((IF(D_I="SI",Datos!L17/Datos!K17,(Datos!L17+Datos!AF17)/(Datos!K17+Datos!AE17)))*11)/factor_trimestre),((IF(D_I="SI",Datos!L17/Datos!K17,(Datos!L17+Datos!AF17)/(Datos!K17+Datos!AE17)))*11)/factor_trimestre," - ")</f>
        <v>3.4026845637583891</v>
      </c>
      <c r="BI17" s="266">
        <f>IF(ISNUMBER('Resol  Asuntos'!D17/NºAsuntos!G17),'Resol  Asuntos'!D17/NºAsuntos!G17," - ")</f>
        <v>0.14429530201342283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2</v>
      </c>
      <c r="AD18" s="549"/>
      <c r="AE18" s="562"/>
      <c r="AF18" s="551">
        <f>IF(ISNUMBER(Datos!L18),Datos!L18,"-")</f>
        <v>71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0.77192982456140347</v>
      </c>
      <c r="BH18" s="764">
        <f>IF(ISNUMBER(((IF(D_I="SI",Datos!L18/Datos!K18,(Datos!L18+Datos!AF18)/(Datos!K18+Datos!AE18)))*11)/factor_trimestre),((IF(D_I="SI",Datos!L18/Datos!K18,(Datos!L18+Datos!AF18)/(Datos!K18+Datos!AE18)))*11)/factor_trimestre," - ")</f>
        <v>3.2272727272727271</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910</v>
      </c>
      <c r="G23" s="1197">
        <f>SUBTOTAL(9,G16:G22)</f>
        <v>968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640</v>
      </c>
      <c r="AC23" s="1198">
        <f t="shared" si="5"/>
        <v>21</v>
      </c>
      <c r="AD23" s="1198">
        <f t="shared" si="5"/>
        <v>0</v>
      </c>
      <c r="AE23" s="1198">
        <f t="shared" si="5"/>
        <v>0</v>
      </c>
      <c r="AF23" s="1198">
        <f t="shared" si="5"/>
        <v>1085</v>
      </c>
      <c r="AG23" s="1198">
        <f t="shared" si="5"/>
        <v>0</v>
      </c>
      <c r="AH23" s="1198">
        <f t="shared" si="5"/>
        <v>0</v>
      </c>
      <c r="AI23" s="1198">
        <f t="shared" si="5"/>
        <v>0</v>
      </c>
      <c r="AJ23" s="1198">
        <f t="shared" si="5"/>
        <v>0</v>
      </c>
      <c r="AK23" s="1198">
        <f t="shared" si="5"/>
        <v>0</v>
      </c>
      <c r="AL23" s="1198">
        <f t="shared" si="5"/>
        <v>0</v>
      </c>
      <c r="AM23" s="1198">
        <f t="shared" si="5"/>
        <v>155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355</v>
      </c>
      <c r="BE23" s="1198">
        <f t="shared" si="5"/>
        <v>0</v>
      </c>
      <c r="BF23" s="1198">
        <f t="shared" si="5"/>
        <v>0</v>
      </c>
      <c r="BG23" s="1198">
        <f>IF(ISNUMBER(Datos!K23/Datos!J23),Datos!K23/Datos!J23," - ")</f>
        <v>0.84544253632760902</v>
      </c>
      <c r="BH23" s="1202">
        <f>IF(ISNUMBER(((Datos!L23/Datos!K23)*11)/factor_trimestre),((Datos!L23/Datos!K23)*11)/factor_trimestre," - ")</f>
        <v>3.390625</v>
      </c>
      <c r="BI23" s="1198">
        <f>SUBTOTAL(9,BI16:BI22)</f>
        <v>0.32611348383160466</v>
      </c>
      <c r="BJ23" s="1198">
        <f>SUBTOTAL(9,BJ16:BJ22)</f>
        <v>0</v>
      </c>
      <c r="BK23" s="1198">
        <f>SUBTOTAL(9,BK16:BK22)</f>
        <v>0</v>
      </c>
      <c r="BL23" s="1198">
        <f>IF(ISNUMBER((I23-AB23+L23)/(F23)),(I23-AB23+L23)/(F23)," - ")</f>
        <v>-0.70329670329670335</v>
      </c>
      <c r="BM23" s="1205">
        <f>IF(ISNUMBER((Datos!P23-Datos!Q23)/(Datos!R23-Datos!P23+Datos!Q23)),(Datos!P23-Datos!Q23)/(Datos!R23-Datos!P23+Datos!Q23)," - ")</f>
        <v>9.9290780141843976E-2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915</v>
      </c>
      <c r="G31" s="1117">
        <f t="shared" si="18"/>
        <v>973</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183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640</v>
      </c>
      <c r="AC31" s="1118">
        <f t="shared" si="19"/>
        <v>113</v>
      </c>
      <c r="AD31" s="1118">
        <f t="shared" si="19"/>
        <v>0</v>
      </c>
      <c r="AE31" s="1118">
        <f t="shared" si="19"/>
        <v>0</v>
      </c>
      <c r="AF31" s="1125">
        <f t="shared" si="19"/>
        <v>1093</v>
      </c>
      <c r="AG31" s="1125">
        <f t="shared" si="19"/>
        <v>0</v>
      </c>
      <c r="AH31" s="1125">
        <f t="shared" si="19"/>
        <v>137</v>
      </c>
      <c r="AI31" s="1125">
        <f t="shared" si="19"/>
        <v>0</v>
      </c>
      <c r="AJ31" s="1118">
        <f t="shared" si="19"/>
        <v>0</v>
      </c>
      <c r="AK31" s="1125">
        <f t="shared" si="19"/>
        <v>0</v>
      </c>
      <c r="AL31" s="1125">
        <f t="shared" si="19"/>
        <v>0</v>
      </c>
      <c r="AM31" s="1125">
        <f t="shared" si="19"/>
        <v>3302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215</v>
      </c>
      <c r="BD31" s="1117">
        <f t="shared" si="19"/>
        <v>633</v>
      </c>
      <c r="BE31" s="1117">
        <f t="shared" si="19"/>
        <v>0</v>
      </c>
      <c r="BF31" s="1127">
        <f t="shared" si="19"/>
        <v>0</v>
      </c>
      <c r="BG31" s="1223">
        <f>IF(ISNUMBER(Datos!K31/Datos!J31),Datos!K31/Datos!J31," - ")</f>
        <v>0.94484760522496369</v>
      </c>
      <c r="BH31" s="1223">
        <f>IF(ISNUMBER(((Datos!L31/Datos!K31)*11)/factor_trimestre),((Datos!L31/Datos!K31)*11)/factor_trimestre," - ")</f>
        <v>3.6835637480798771</v>
      </c>
      <c r="BI31" s="1103">
        <f>IF(ISNUMBER(Datos!J31/Datos!I31),Datos!J31/Datos!I31," - ")</f>
        <v>0.59345391903531441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-0.69945355191256831</v>
      </c>
      <c r="BM31" s="1188">
        <f>IF(ISNUMBER((Datos!P31-Datos!Q31+R31)/(Datos!R31-Datos!P31+Datos!Q31-R31)),(Datos!P31-Datos!Q31+R31)/(Datos!R31-Datos!P31+Datos!Q31-R31)," - ")</f>
        <v>2.1658415841584157E-2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468.63631954853861</v>
      </c>
      <c r="G33" s="674">
        <f>IF(ISNUMBER(STDEV(G8:G30)),STDEV(G8:G30),"-")</f>
        <v>452.31810340364075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297.96388403710307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56.651188362267767</v>
      </c>
      <c r="BD33" s="673"/>
      <c r="BE33" s="673">
        <f>IF(ISNUMBER(STDEV(BE8:BE30)),STDEV(BE8:BE30),"-")</f>
        <v>0</v>
      </c>
      <c r="BF33" s="678">
        <f>IF(ISNUMBER(STDEV(BF8:BF30)),STDEV(BF8:BF30),"-")</f>
        <v>0</v>
      </c>
      <c r="BG33" s="1052">
        <f>IF(ISNUMBER(STDEV(BG8:BG30)),STDEV(BG8:BG30),"-")</f>
        <v>0.39231043998094633</v>
      </c>
      <c r="BH33" s="1058">
        <f>IF(ISNUMBER(STDEV(BH8:BH30)),STDEV(BH8:BH30),"-")</f>
        <v>0.34584215170777366</v>
      </c>
      <c r="BI33" s="273">
        <f>IF(ISNUMBER(STDEV(BI8:BI30)),STDEV(BI8:BI30),"-")</f>
        <v>8.2523142188524079E-2</v>
      </c>
      <c r="BJ33" s="244" t="str">
        <f>IF(ISNUMBER(BL33/BM33),BL33/BM33," - ")</f>
        <v xml:space="preserve"> - </v>
      </c>
      <c r="BK33" s="709"/>
      <c r="BL33" s="681">
        <f>IF(ISNUMBER(STDEV(BL8:BL30)),STDEV(BL8:BL30),"-")</f>
        <v>0.49730586808724225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1z37Qe9RWvbfIQVRwcs3jO7ohciMCF1rHLktqxlw91GfMKh1bHQ5ftT3iv0c49xSSDBthVzYfBIqVr2gRPu4g==" saltValue="6Vsx6a7j8jib3BdAJI0l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PICASSENT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3147</v>
      </c>
      <c r="AF12" s="693" t="str">
        <f>IF(ISNUMBER(Datos!BV12),Datos!BV12," - ")</f>
        <v xml:space="preserve"> - </v>
      </c>
      <c r="AG12" s="552" t="str">
        <f>IF(ISNUMBER(Datos!DV12),Datos!DV12," - ")</f>
        <v xml:space="preserve"> - </v>
      </c>
      <c r="AH12" s="553"/>
      <c r="AI12" s="554"/>
      <c r="AJ12" s="552">
        <f>IF(ISNUMBER(Datos!M12),Datos!M12," - ")</f>
        <v>121</v>
      </c>
      <c r="AK12" s="693">
        <f>IF(ISNUMBER(Datos!N12),Datos!N12," - ")</f>
        <v>278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3.9506849315068493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1.8117114202523456E-2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148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92</v>
      </c>
      <c r="AA14" s="1199">
        <f t="shared" si="3"/>
        <v>8</v>
      </c>
      <c r="AB14" s="1199">
        <f t="shared" si="3"/>
        <v>0</v>
      </c>
      <c r="AC14" s="1199">
        <f t="shared" si="3"/>
        <v>0</v>
      </c>
      <c r="AD14" s="1199">
        <f t="shared" si="3"/>
        <v>0</v>
      </c>
      <c r="AE14" s="1199">
        <f t="shared" si="3"/>
        <v>3147</v>
      </c>
      <c r="AF14" s="1211">
        <f t="shared" si="3"/>
        <v>0</v>
      </c>
      <c r="AG14" s="1211">
        <f t="shared" si="3"/>
        <v>0</v>
      </c>
      <c r="AH14" s="1211">
        <f t="shared" si="3"/>
        <v>0</v>
      </c>
      <c r="AI14" s="1211">
        <f t="shared" si="3"/>
        <v>0</v>
      </c>
      <c r="AJ14" s="1211">
        <f t="shared" si="3"/>
        <v>121</v>
      </c>
      <c r="AK14" s="1211">
        <f t="shared" si="3"/>
        <v>278</v>
      </c>
      <c r="AL14" s="1211">
        <f t="shared" si="3"/>
        <v>0</v>
      </c>
      <c r="AM14" s="1211">
        <f t="shared" si="3"/>
        <v>0</v>
      </c>
      <c r="AN14" s="1211">
        <f t="shared" si="3"/>
        <v>0</v>
      </c>
      <c r="AO14" s="1203">
        <f>IF(ISNUMBER(((NºAsuntos!I14/NºAsuntos!G14)*11)/factor_trimestre),((NºAsuntos!I14/NºAsuntos!G14)*11)/factor_trimestre," - ")</f>
        <v>3.9726027397260277</v>
      </c>
      <c r="AP14" s="1213" t="str">
        <f>IF(ISNUMBER(Datos!CI14/Datos!CJ14),Datos!CI14/Datos!CJ14," - ")</f>
        <v xml:space="preserve"> - </v>
      </c>
      <c r="AQ14" s="1236">
        <f t="shared" ref="AQ14:AV14" si="4">SUBTOTAL(9,AQ9:AQ13)</f>
        <v>0</v>
      </c>
      <c r="AR14" s="1236">
        <f t="shared" si="4"/>
        <v>1.8117114202523456E-2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910</v>
      </c>
      <c r="G17" s="552">
        <f>IF(ISNUMBER(IF(D_I="SI",Datos!I17,Datos!I17+Datos!AC17)),IF(D_I="SI",Datos!I17,Datos!I17+Datos!AC17)," - ")</f>
        <v>910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596</v>
      </c>
      <c r="Z17" s="805">
        <f>IF(ISNUMBER(Datos!Q17),Datos!Q17," - ")</f>
        <v>19</v>
      </c>
      <c r="AA17" s="551">
        <f>IF(ISNUMBER(IF(D_I="SI",Datos!L17,Datos!L17+Datos!AF17)),IF(D_I="SI",Datos!L17,Datos!L17+Datos!AF17)," - ")</f>
        <v>1014</v>
      </c>
      <c r="AB17" s="549"/>
      <c r="AC17" s="549"/>
      <c r="AD17" s="563"/>
      <c r="AE17" s="563">
        <f>IF(ISNUMBER(Datos!R17),Datos!R17," - ")</f>
        <v>155</v>
      </c>
      <c r="AF17" s="693" t="str">
        <f>IF(ISNUMBER(Datos!BV17),Datos!BV17," - ")</f>
        <v xml:space="preserve"> - </v>
      </c>
      <c r="AG17" s="552"/>
      <c r="AH17" s="553"/>
      <c r="AI17" s="554"/>
      <c r="AJ17" s="552">
        <f>IF(ISNUMBER(Datos!M17),Datos!M17," - ")</f>
        <v>86</v>
      </c>
      <c r="AK17" s="693">
        <f>IF(ISNUMBER(Datos!N17),Datos!N17," - ")</f>
        <v>330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3.4026845637583891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2</v>
      </c>
      <c r="AA18" s="551">
        <f>IF(ISNUMBER(Datos!L18),Datos!L18,"-")</f>
        <v>71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3.2272727272727271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910</v>
      </c>
      <c r="G23" s="1197">
        <f>SUBTOTAL(9,G16:G22)</f>
        <v>968</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640</v>
      </c>
      <c r="Z23" s="1240">
        <f t="shared" si="6"/>
        <v>21</v>
      </c>
      <c r="AA23" s="1240">
        <f t="shared" si="6"/>
        <v>1085</v>
      </c>
      <c r="AB23" s="1240">
        <f t="shared" si="6"/>
        <v>0</v>
      </c>
      <c r="AC23" s="1240">
        <f t="shared" si="6"/>
        <v>0</v>
      </c>
      <c r="AD23" s="1240">
        <f t="shared" si="6"/>
        <v>0</v>
      </c>
      <c r="AE23" s="1240">
        <f t="shared" si="6"/>
        <v>155</v>
      </c>
      <c r="AF23" s="1240">
        <f t="shared" si="6"/>
        <v>0</v>
      </c>
      <c r="AG23" s="1240">
        <f t="shared" si="6"/>
        <v>0</v>
      </c>
      <c r="AH23" s="1240">
        <f t="shared" si="6"/>
        <v>0</v>
      </c>
      <c r="AI23" s="1240">
        <f t="shared" si="6"/>
        <v>0</v>
      </c>
      <c r="AJ23" s="1240">
        <f t="shared" si="6"/>
        <v>94</v>
      </c>
      <c r="AK23" s="1240">
        <f t="shared" si="6"/>
        <v>355</v>
      </c>
      <c r="AL23" s="1240">
        <f t="shared" si="6"/>
        <v>0</v>
      </c>
      <c r="AM23" s="1240">
        <f t="shared" si="6"/>
        <v>0</v>
      </c>
      <c r="AN23" s="1240">
        <f t="shared" si="6"/>
        <v>0</v>
      </c>
      <c r="AO23" s="1242">
        <f>IF(ISNUMBER(((NºAsuntos!I23/NºAsuntos!G23)*11)/factor_trimestre),((NºAsuntos!I23/NºAsuntos!G23)*11)/factor_trimestre," - ")</f>
        <v>3.390625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915</v>
      </c>
      <c r="G31" s="1117">
        <f t="shared" si="12"/>
        <v>973</v>
      </c>
      <c r="H31" s="1118">
        <f t="shared" si="12"/>
        <v>0</v>
      </c>
      <c r="I31" s="1117">
        <f t="shared" si="12"/>
        <v>0</v>
      </c>
      <c r="J31" s="1119">
        <f t="shared" si="12"/>
        <v>0</v>
      </c>
      <c r="K31" s="1117">
        <f t="shared" si="12"/>
        <v>0</v>
      </c>
      <c r="L31" s="1120">
        <f t="shared" si="12"/>
        <v>0</v>
      </c>
      <c r="M31" s="1117">
        <f t="shared" si="12"/>
        <v>0</v>
      </c>
      <c r="N31" s="1118">
        <f t="shared" si="12"/>
        <v>183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640</v>
      </c>
      <c r="Z31" s="1124">
        <f t="shared" si="13"/>
        <v>113</v>
      </c>
      <c r="AA31" s="1125">
        <f t="shared" si="13"/>
        <v>1093</v>
      </c>
      <c r="AB31" s="1125">
        <f t="shared" si="13"/>
        <v>0</v>
      </c>
      <c r="AC31" s="1125">
        <f t="shared" si="13"/>
        <v>0</v>
      </c>
      <c r="AD31" s="1126">
        <f t="shared" si="13"/>
        <v>0</v>
      </c>
      <c r="AE31" s="1126">
        <f t="shared" si="13"/>
        <v>3302</v>
      </c>
      <c r="AF31" s="1127">
        <f t="shared" si="13"/>
        <v>0</v>
      </c>
      <c r="AG31" s="1128">
        <f t="shared" si="13"/>
        <v>0</v>
      </c>
      <c r="AH31" s="1129">
        <f t="shared" si="13"/>
        <v>0</v>
      </c>
      <c r="AI31" s="1127">
        <f t="shared" si="13"/>
        <v>0</v>
      </c>
      <c r="AJ31" s="1117">
        <f t="shared" si="13"/>
        <v>215</v>
      </c>
      <c r="AK31" s="1117">
        <f t="shared" si="13"/>
        <v>633</v>
      </c>
      <c r="AL31" s="1117">
        <f t="shared" si="13"/>
        <v>0</v>
      </c>
      <c r="AM31" s="1130">
        <f t="shared" si="13"/>
        <v>0</v>
      </c>
      <c r="AN31" s="1120">
        <f>IF(ISNUMBER(Datos!K31/Datos!J31),Datos!K31/Datos!J31," - ")</f>
        <v>0.94484760522496369</v>
      </c>
      <c r="AO31" s="1120">
        <f>IF(ISNUMBER(FIND("06",Criterios!A8,1)),(IF(ISNUMBER(((Datos!R31/Datos!Q31)*11)/factor_trimestre),((Datos!R31/Datos!Q31)*11)/factor_trimestre," - ")),(IF(ISNUMBER(((Datos!L31/Datos!K31)*11)/factor_trimestre),((Datos!L31/Datos!K31)*11)/factor_trimestre," - ")))</f>
        <v>3.6835637480798771</v>
      </c>
      <c r="AP31" s="1131" t="str">
        <f>IF(ISNUMBER(Datos!CI31/Datos!CJ31),Datos!CI31/Datos!CJ31," - ")</f>
        <v xml:space="preserve"> - </v>
      </c>
      <c r="AQ31" s="1131">
        <f>IF(OR(ISNUMBER(FIND("01",Criterios!A8,1)),ISNUMBER(FIND("02",Criterios!A8,1)),ISNUMBER(FIND("03",Criterios!A8,1)),ISNUMBER(FIND("04",Criterios!A8,1))),(J31-Y31+K31)/(F31-K31),(I31-Y31+K31)/(F31-K31))</f>
        <v>-0.69945355191256831</v>
      </c>
      <c r="AR31" s="1131">
        <f>IF(ISNUMBER((Datos!P31-Datos!Q31+O31)/(Datos!R31-Datos!P31+Datos!Q31-O31)),(Datos!P31-Datos!Q31+O31)/(Datos!R31-Datos!P31+Datos!Q31-O31)," - ")</f>
        <v>2.1658415841584157E-2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468.63631954853861</v>
      </c>
      <c r="G33" s="674">
        <f>IF(ISNUMBER(STDEV(G8:G30)),STDEV(G8:G30),"-")</f>
        <v>452.31810340364075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56.651188362267767</v>
      </c>
      <c r="AK33" s="276"/>
      <c r="AL33" s="276">
        <f>IF(ISNUMBER(STDEV(AL8:AL30)),STDEV(AL8:AL30),"-")</f>
        <v>0</v>
      </c>
      <c r="AM33" s="278">
        <f>IF(ISNUMBER(STDEV(AM8:AM30)),STDEV(AM8:AM30),"-")</f>
        <v>0</v>
      </c>
      <c r="AN33" s="660">
        <f>IF(ISNUMBER(STDEV(AN8:AN30)),STDEV(AN8:AN30),"-")</f>
        <v>0</v>
      </c>
      <c r="AO33" s="661">
        <f>IF(ISNUMBER(STDEV(AO8:AO30)),STDEV(AO8:AO30),"-")</f>
        <v>0.34744765737049677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byCvaVa2nCme19jLRy686U3+2yLjT8ab9lRa3ZqYuIbsX5EZJBzAY0DnD4dtdp/k0DlG/VJm//U2+mQXp2SBg==" saltValue="Kk5aYaTfichYhqsfXRnP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rfxFmduKanhWy8Sc13CsWHux5MbFkHWMeHb7fqiq/k4+Jg0mNHo2z9DH9RRJ96d9yZDQAS0pihkg45Hc3PhNg==" saltValue="qDCb8aYlNQhkdPso1t/F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k2w+qF3wkSSktQfDsUGm+nLKXrWW7R/NbdQ9uHbkj0BpetsDNa1Q7hsd/muXh7wza9DxpqqUr6+d58hSjP5HA==" saltValue="EtKrXv1PfLJHfy/dxzsk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PICASSENT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0.16575342465753426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0.11720537058023596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WIkOvN9e/VdpGaiJPVRS6fgYOkUOQ3Su6HBvoHdrNfD5BMKVVDFVyh+egJus2Ew9ZZzH3RIxZc/5DS+hY3kVA==" saltValue="o/Em/pab2rcUmc5RrXKW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pg7FYF+ta/01u8YEN2RZg9G8iZV6ky4ug8AuajQ+NDbv9dLfQ78YWe3fpglpC8Y+LkZ0xFJCfmmQl007ATKxA==" saltValue="Q00yda2CkDRKQCE/0M7i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PICASSENT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0</v>
      </c>
      <c r="H10" s="452">
        <f>IF(ISNUMBER(G10/B10),G10/B10," - ")</f>
        <v>0</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1475</v>
      </c>
      <c r="D12" s="452">
        <f>IF(ISNUMBER(C12/Datos!BH12),C12/Datos!BH12," - ")</f>
        <v>491.66666666666669</v>
      </c>
      <c r="E12" s="451">
        <f>IF(ISNUMBER(IF(J_V="SI",Datos!J12,Datos!J12+Datos!Z12)),IF(J_V="SI",Datos!J12,Datos!J12+Datos!Z12)," - ")</f>
        <v>697</v>
      </c>
      <c r="F12" s="452">
        <f>IF(ISNUMBER(E12/B12),E12/B12," - ")</f>
        <v>232.33333333333334</v>
      </c>
      <c r="G12" s="451">
        <f>IF(ISNUMBER(IF(J_V="SI",Datos!K12,Datos!K12+Datos!AA12)),IF(J_V="SI",Datos!K12,Datos!K12+Datos!AA12)," - ")</f>
        <v>730</v>
      </c>
      <c r="H12" s="452">
        <f>IF(ISNUMBER(G12/B12),G12/B12," - ")</f>
        <v>243.33333333333334</v>
      </c>
      <c r="I12" s="451">
        <f>IF(ISNUMBER(IF(J_V="SI",Datos!L12,Datos!L12+Datos!AB12)),IF(J_V="SI",Datos!L12,Datos!L12+Datos!AB12)," - ")</f>
        <v>1442</v>
      </c>
      <c r="J12" s="452">
        <f>IF(ISNUMBER(I12/B12),I12/B12," - ")</f>
        <v>480.66666666666669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1480</v>
      </c>
      <c r="D14" s="1147" t="str">
        <f>IF(ISNUMBER(C14/Datos!BI14),C14/Datos!BI14," - ")</f>
        <v xml:space="preserve"> - </v>
      </c>
      <c r="E14" s="1146">
        <f>SUBTOTAL(9,E8:E13)</f>
        <v>700</v>
      </c>
      <c r="F14" s="1147">
        <f>IF(ISNUMBER(E14/B14),E14/B14," - ")</f>
        <v>233.33333333333334</v>
      </c>
      <c r="G14" s="1146">
        <f>SUBTOTAL(9,G8:G13)</f>
        <v>730</v>
      </c>
      <c r="H14" s="1147">
        <f>IF(ISNUMBER(G14/B14),G14/B14," - ")</f>
        <v>243.33333333333334</v>
      </c>
      <c r="I14" s="1146">
        <f>SUBTOTAL(9,I8:I13)</f>
        <v>1450</v>
      </c>
      <c r="J14" s="1147">
        <f>IF(ISNUMBER(I14/B14),I14/B14," - ")</f>
        <v>483.33333333333331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910</v>
      </c>
      <c r="D17" s="452">
        <f>IF(ISNUMBER(C17/Datos!BH17),C17/Datos!BH17," - ")</f>
        <v>303.33333333333331</v>
      </c>
      <c r="E17" s="451">
        <f>IF(ISNUMBER(IF(D_I="SI",Datos!J17,Datos!J17+Datos!AD17)),IF(D_I="SI",Datos!J17,Datos!J17+Datos!AD17)," - ")</f>
        <v>700</v>
      </c>
      <c r="F17" s="452">
        <f>IF(ISNUMBER(E17/B17),E17/B17," - ")</f>
        <v>233.33333333333334</v>
      </c>
      <c r="G17" s="451">
        <f>IF(ISNUMBER(IF(D_I="SI",Datos!K17,Datos!K17+Datos!AE17)),IF(D_I="SI",Datos!K17,Datos!K17+Datos!AE17)," - ")</f>
        <v>596</v>
      </c>
      <c r="H17" s="452">
        <f>IF(ISNUMBER(G17/B17),G17/B17," - ")</f>
        <v>198.66666666666666</v>
      </c>
      <c r="I17" s="451">
        <f>IF(ISNUMBER(IF(D_I="SI",Datos!L17,Datos!L17+Datos!AF17)),IF(D_I="SI",Datos!L17,Datos!L17+Datos!AF17)," - ")</f>
        <v>1014</v>
      </c>
      <c r="J17" s="452">
        <f>IF(ISNUMBER(I17/B17),I17/B17," - ")</f>
        <v>338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57</v>
      </c>
      <c r="F18" s="452">
        <f>IF(ISNUMBER(E18/B18),E18/B18," - ")</f>
        <v>57</v>
      </c>
      <c r="G18" s="451">
        <f>IF(ISNUMBER(IF(D_I="SI",Datos!K18,Datos!K18+Datos!AE18)),IF(D_I="SI",Datos!K18,Datos!K18+Datos!AE18)," - ")</f>
        <v>44</v>
      </c>
      <c r="H18" s="452">
        <f>IF(ISNUMBER(G18/B18),G18/B18," - ")</f>
        <v>44</v>
      </c>
      <c r="I18" s="451">
        <f>IF(ISNUMBER(IF(D_I="SI",Datos!L18,Datos!L18+Datos!AF18)),IF(D_I="SI",Datos!L18,Datos!L18+Datos!AF18)," - ")</f>
        <v>71</v>
      </c>
      <c r="J18" s="452">
        <f>IF(ISNUMBER(I18/B18),I18/B18," - ")</f>
        <v>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968</v>
      </c>
      <c r="D23" s="1147" t="str">
        <f>IF(ISNUMBER(C23/Datos!BI23),C23/Datos!BI23," - ")</f>
        <v xml:space="preserve"> - </v>
      </c>
      <c r="E23" s="1146">
        <f>SUBTOTAL(9,E15:E22)</f>
        <v>757</v>
      </c>
      <c r="F23" s="1147">
        <f>IF(ISNUMBER(E23/B23),E23/B23," - ")</f>
        <v>252.33333333333334</v>
      </c>
      <c r="G23" s="1146">
        <f>SUBTOTAL(9,G15:G22)</f>
        <v>640</v>
      </c>
      <c r="H23" s="1147">
        <f>IF(ISNUMBER(G23/B23),G23/B23," - ")</f>
        <v>213.33333333333334</v>
      </c>
      <c r="I23" s="1146">
        <f>SUBTOTAL(9,I15:I22)</f>
        <v>1085</v>
      </c>
      <c r="J23" s="1147">
        <f>IF(ISNUMBER(I23/B23),I23/B23," - ")</f>
        <v>361.66666666666669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2448</v>
      </c>
      <c r="D31" s="1085" t="str">
        <f>IF(ISNUMBER(C31/Datos!BI31),C31/Datos!BI31," - ")</f>
        <v xml:space="preserve"> - </v>
      </c>
      <c r="E31" s="1084">
        <f>SUBTOTAL(9,E9:E30)</f>
        <v>1457</v>
      </c>
      <c r="F31" s="1085">
        <f>IF(ISNUMBER(E31/B31),E31/B31," - ")</f>
        <v>485.66666666666669</v>
      </c>
      <c r="G31" s="1084">
        <f>SUBTOTAL(9,G9:G30)</f>
        <v>1370</v>
      </c>
      <c r="H31" s="1085">
        <f>IF(ISNUMBER(G31/B31),G31/B31," - ")</f>
        <v>456.66666666666669</v>
      </c>
      <c r="I31" s="1084">
        <f>SUBTOTAL(9,I9:I30)</f>
        <v>2535</v>
      </c>
      <c r="J31" s="1085">
        <f>IF(ISNUMBER(I31/B31),I31/B31," - ")</f>
        <v>845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e7FkeDE/uD1oOY0KW7qyHfDOEXfLWc7u95JSt7uzhBTaHUX6fI86d0Z/mCCtCQOSN4LXzaydRnezNwP0x9NmA==" saltValue="Vx5ZELZIT/b1KHJzjaV7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PICASSENT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278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3.9506849315068493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1.8117114202523456E-2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148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92</v>
      </c>
      <c r="AE14" s="1257">
        <f t="shared" si="1"/>
        <v>0</v>
      </c>
      <c r="AF14" s="1257">
        <f t="shared" si="1"/>
        <v>8</v>
      </c>
      <c r="AG14" s="1257">
        <f t="shared" si="1"/>
        <v>0</v>
      </c>
      <c r="AH14" s="1257">
        <f t="shared" si="1"/>
        <v>3147</v>
      </c>
      <c r="AI14" s="1257">
        <f t="shared" si="1"/>
        <v>0</v>
      </c>
      <c r="AJ14" s="1257">
        <f t="shared" si="1"/>
        <v>0</v>
      </c>
      <c r="AK14" s="1257">
        <f t="shared" si="1"/>
        <v>0</v>
      </c>
      <c r="AL14" s="1257">
        <f t="shared" si="1"/>
        <v>121</v>
      </c>
      <c r="AM14" s="1257">
        <f t="shared" si="1"/>
        <v>278</v>
      </c>
      <c r="AN14" s="1257">
        <f t="shared" si="1"/>
        <v>0</v>
      </c>
      <c r="AO14" s="1257">
        <f t="shared" si="1"/>
        <v>0</v>
      </c>
      <c r="AP14" s="1262">
        <f>IF(ISNUMBER(((Datos!L14/Datos!K14)*11)/factor_trimestre),((Datos!L14/Datos!K14)*11)/factor_trimestre," - ")</f>
        <v>3.966767371601208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1.8117114202523456E-2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3.390625</v>
      </c>
      <c r="AQ23" s="1262">
        <f>IF(ISNUMBER(((Datos!M23/Datos!L23)*11)/factor_trimestre),((Datos!M23/Datos!L23)*11)/factor_trimestre," - ")</f>
        <v>0.17327188940092167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9.9290780141843976E-2</v>
      </c>
      <c r="AW23" s="1265">
        <f>IF(ISNUMBER((Datos!Q23-Datos!R23)/(Datos!S23-Datos!Q23+Datos!R23)),(Datos!Q23-Datos!R23)/(Datos!S23-Datos!Q23+Datos!R23)," - ")</f>
        <v>-0.12570356472795496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148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92</v>
      </c>
      <c r="AE31" s="1284">
        <f t="shared" si="9"/>
        <v>0</v>
      </c>
      <c r="AF31" s="1285">
        <f t="shared" si="9"/>
        <v>8</v>
      </c>
      <c r="AG31" s="1285">
        <f t="shared" si="9"/>
        <v>0</v>
      </c>
      <c r="AH31" s="1285">
        <f t="shared" si="9"/>
        <v>3147</v>
      </c>
      <c r="AI31" s="1285">
        <f t="shared" si="9"/>
        <v>0</v>
      </c>
      <c r="AJ31" s="1286">
        <f t="shared" si="9"/>
        <v>0</v>
      </c>
      <c r="AK31" s="1286">
        <f t="shared" si="9"/>
        <v>0</v>
      </c>
      <c r="AL31" s="1278">
        <f t="shared" si="9"/>
        <v>121</v>
      </c>
      <c r="AM31" s="1278">
        <f t="shared" si="9"/>
        <v>278</v>
      </c>
      <c r="AN31" s="1278">
        <f t="shared" si="9"/>
        <v>0</v>
      </c>
      <c r="AO31" s="1278">
        <f t="shared" si="9"/>
        <v>0</v>
      </c>
      <c r="AP31" s="1278">
        <f>IF(ISNUMBER(((Datos!L31/Datos!K31)*11)/factor_trimestre),((Datos!L31/Datos!K31)*11)/factor_trimestre," - ")</f>
        <v>3.6835637480798771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2.1658415841584157E-2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62.484131318812999</v>
      </c>
      <c r="AM33" s="1006"/>
      <c r="AN33" s="1006">
        <f>IF(ISNUMBER(STDEV(AN8:AN30)),STDEV(AN8:AN30),"-")</f>
        <v>0</v>
      </c>
      <c r="AO33" s="1012">
        <f>IF(ISNUMBER(STDEV(AO8:AO30)),STDEV(AO8:AO30),"-")</f>
        <v>0</v>
      </c>
      <c r="AP33" s="1065">
        <f>IF(ISNUMBER(STDEV(AP8:AP30)),STDEV(AP8:AP30),"-")</f>
        <v>0.32809190889980555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Aa3KvqFumNb1mAu4JMc1Xyy7Jl0AGzU/Xnq3ZQxjmkqwsG0tOyp2IvxtXl5SeVKtST0zybEMrdhqylIENOEiw==" saltValue="rPwGDpf3hGL55CFXdtff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PICASSENT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Qmt91rLoFnzebhpHG4c4xq0K/P8H6lTeE69c+VAyWRZV+Cgc9TfiAS5jY7IkBc60tybMhFSTXW4jq4ihlS7A==" saltValue="KJU/L5TcuVxdEh/VRpfZ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PICASSENT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121</v>
      </c>
      <c r="E12" s="452">
        <f t="shared" si="0"/>
        <v>40.333333333333336</v>
      </c>
      <c r="F12" s="451">
        <f>IF(ISNUMBER(Datos!N12),Datos!N12," - ")</f>
        <v>278</v>
      </c>
      <c r="G12" s="452">
        <f t="shared" si="1"/>
        <v>92.666666666666671</v>
      </c>
      <c r="H12" s="451">
        <f>IF(ISNUMBER(Datos!O12),Datos!O12," - ")</f>
        <v>368</v>
      </c>
      <c r="I12" s="452">
        <f t="shared" si="2"/>
        <v>122.66666666666667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121</v>
      </c>
      <c r="E14" s="1147">
        <f t="shared" si="0"/>
        <v>30.25</v>
      </c>
      <c r="F14" s="1146">
        <f>SUBTOTAL(9,F9:F13)</f>
        <v>278</v>
      </c>
      <c r="G14" s="1147">
        <f t="shared" si="1"/>
        <v>69.5</v>
      </c>
      <c r="H14" s="1146">
        <f>SUBTOTAL(9,H9:H13)</f>
        <v>368</v>
      </c>
      <c r="I14" s="1147">
        <f>IF(ISNUMBER(H14/B14),H14/B14," - ")</f>
        <v>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86</v>
      </c>
      <c r="E17" s="452">
        <f t="shared" si="3"/>
        <v>28.666666666666668</v>
      </c>
      <c r="F17" s="451">
        <f>IF(ISNUMBER(Datos!N17),Datos!N17," - ")</f>
        <v>330</v>
      </c>
      <c r="G17" s="452">
        <f t="shared" si="4"/>
        <v>110</v>
      </c>
      <c r="H17" s="451">
        <f>IF(ISNUMBER(Datos!O17),Datos!O17," - ")</f>
        <v>6</v>
      </c>
      <c r="I17" s="452">
        <f t="shared" si="5"/>
        <v>2</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94</v>
      </c>
      <c r="E23" s="1147">
        <f t="shared" si="3"/>
        <v>23.5</v>
      </c>
      <c r="F23" s="1146">
        <f>SUBTOTAL(9,F16:F22)</f>
        <v>355</v>
      </c>
      <c r="G23" s="1147">
        <f t="shared" si="4"/>
        <v>88.75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215</v>
      </c>
      <c r="E31" s="1085">
        <f>IF(ISNUMBER(D31/B31),D31/B31," - ")</f>
        <v>71.666666666666671</v>
      </c>
      <c r="F31" s="1084">
        <f>SUBTOTAL(9,F8:F30)</f>
        <v>633</v>
      </c>
      <c r="G31" s="1085">
        <f>IF(ISNUMBER(F31/B31),F31/B31," - ")</f>
        <v>211</v>
      </c>
      <c r="H31" s="1084">
        <f>SUBTOTAL(9,H8:H30)</f>
        <v>374</v>
      </c>
      <c r="I31" s="1085">
        <f>IF(ISNUMBER(H31/B31),H31/B31," - ")</f>
        <v>124.66666666666667</v>
      </c>
    </row>
    <row r="34" spans="1:1">
      <c r="A34" s="439" t="str">
        <f>Criterios!A4</f>
        <v>Fecha Informe: 06 may. 2023</v>
      </c>
    </row>
    <row r="39" spans="1:1">
      <c r="A39" s="462"/>
    </row>
  </sheetData>
  <sheetProtection algorithmName="SHA-512" hashValue="UrSD49g5ZqPOjrpgj8zJj4IYNsn3mEYULcrThEQTwqUfWTsJbaMBS54cOIGslBiFOLXe35vHXwOkstlmgBYnWw==" saltValue="PGg9J8VQAWcxNoCUB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PICASSENT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148</v>
      </c>
      <c r="C12" s="489">
        <f>IF(ISNUMBER(Datos!Q12),Datos!Q12," - ")</f>
        <v>92</v>
      </c>
      <c r="D12" s="456">
        <f>IF(ISNUMBER(Datos!R12),Datos!R12," - ")</f>
        <v>3147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148</v>
      </c>
      <c r="C14" s="1150">
        <f>SUBTOTAL(9,C9:C13)</f>
        <v>92</v>
      </c>
      <c r="D14" s="1148">
        <f>SUBTOTAL(9,D9:D13)</f>
        <v>3147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19</v>
      </c>
      <c r="D17" s="456">
        <f>IF(ISNUMBER(Datos!R17),Datos!R17," - ")</f>
        <v>155</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21</v>
      </c>
      <c r="D23" s="1148">
        <f>SUBTOTAL(9,D16:D22)</f>
        <v>155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v>
      </c>
      <c r="C31" s="1089">
        <f>SUBTOTAL(9,C8:C30)</f>
        <v>113</v>
      </c>
      <c r="D31" s="1090">
        <f>SUBTOTAL(9,D8:D30)</f>
        <v>3302</v>
      </c>
    </row>
    <row r="32" spans="1:4" ht="7.5" customHeight="1"/>
    <row r="33" spans="1:1" ht="6" customHeight="1"/>
    <row r="34" spans="1:1">
      <c r="A34" s="439" t="str">
        <f>Criterios!A4</f>
        <v>Fecha Informe: 06 may. 2023</v>
      </c>
    </row>
    <row r="39" spans="1:1">
      <c r="A39" s="462"/>
    </row>
  </sheetData>
  <sheetProtection algorithmName="SHA-512" hashValue="tzNLvR1VGptoqiEp8NTZYRgNgyuoSrfGRyk0NUwvRDxOrygnL8vwE0SIJ6jfw6A/EvUzT70zduEO4KY2UtPuzQ==" saltValue="yYL0hsC4WoIpgTiAGluM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PICASSENT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-0.25</v>
      </c>
      <c r="D10" s="515">
        <f>IF(ISNUMBER((Datos!K10-Datos!U10)/Datos!U10),(Datos!K10-Datos!U10)/Datos!U10," - ")</f>
        <v>-1</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8.3761939750183687E-2</v>
      </c>
      <c r="C12" s="515">
        <f>IF(ISNUMBER(
   IF(J_V="SI",(Datos!J12-Datos!T12)/Datos!T12,(Datos!J12+Datos!Z12-(Datos!T12+Datos!AH12))/(Datos!T12+Datos!AH12))
     ),IF(J_V="SI",(Datos!J12-Datos!T12)/Datos!T12,(Datos!J12+Datos!Z12-(Datos!T12+Datos!AH12))/(Datos!T12+Datos!AH12))," - ")</f>
        <v>0.297951582867784</v>
      </c>
      <c r="D12" s="515">
        <f>IF(ISNUMBER(
   IF(J_V="SI",(Datos!K12-Datos!U12)/Datos!U12,(Datos!K12+Datos!AA12-(Datos!U12+Datos!AI12))/(Datos!U12+Datos!AI12))
     ),IF(J_V="SI",(Datos!K12-Datos!U12)/Datos!U12,(Datos!K12+Datos!AA12-(Datos!U12+Datos!AI12))/(Datos!U12+Datos!AI12))," - ")</f>
        <v>0.35185185185185186</v>
      </c>
      <c r="E12" s="515">
        <f>IF(ISNUMBER(
   IF(J_V="SI",(Datos!L12-Datos!V12)/Datos!V12,(Datos!L12+Datos!AB12-(Datos!V12+Datos!AJ12))/(Datos!V12+Datos!AJ12))
     ),IF(J_V="SI",(Datos!L12-Datos!V12)/Datos!V12,(Datos!L12+Datos!AB12-(Datos!V12+Datos!AJ12))/(Datos!V12+Datos!AJ12))," - ")</f>
        <v>6.1855670103092786E-2</v>
      </c>
      <c r="F12" s="515">
        <f>IF(ISNUMBER((Datos!M12-Datos!W12)/Datos!W12),(Datos!M12-Datos!W12)/Datos!W12," - ")</f>
        <v>0.30107526881720431</v>
      </c>
      <c r="G12" s="516">
        <f>IF(ISNUMBER((Datos!N12-Datos!X12)/Datos!X12),(Datos!N12-Datos!X12)/Datos!X12," - ")</f>
        <v>0.21397379912663755</v>
      </c>
      <c r="H12" s="514">
        <f>IF(ISNUMBER(((NºAsuntos!G12/NºAsuntos!E12)-Datos!BD12)/Datos!BD12),((NºAsuntos!G12/NºAsuntos!E12)-Datos!BD12)/Datos!BD12," - ")</f>
        <v>4.1527179977682092E-2</v>
      </c>
      <c r="I12" s="515">
        <f>IF(ISNUMBER(((NºAsuntos!I12/NºAsuntos!G12)-Datos!BE12)/Datos!BE12),((NºAsuntos!I12/NºAsuntos!G12)-Datos!BE12)/Datos!BE12," - ")</f>
        <v>-0.21451772348538337</v>
      </c>
      <c r="J12" s="521">
        <f>IF(ISNUMBER((('Resol  Asuntos'!D12/NºAsuntos!G12)-Datos!BF12)/Datos!BF12),(('Resol  Asuntos'!D12/NºAsuntos!G12)-Datos!BF12)/Datos!BF12," - ")</f>
        <v>-0.60914039600406755</v>
      </c>
      <c r="K12" s="522">
        <f>IF(ISNUMBER((((NºAsuntos!C12+NºAsuntos!E12)/NºAsuntos!G12)-Datos!BG12)/Datos!BG12),(((NºAsuntos!C12+NºAsuntos!E12)/NºAsuntos!G12)-Datos!BG12)/Datos!BG12," - ")</f>
        <v>-0.15348528371609621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8.1081081081081086E-2</v>
      </c>
      <c r="C14" s="1152">
        <f>IF(ISNUMBER(
   IF(J_V="SI",(Datos!J14-Datos!T14)/Datos!T14,(Datos!J14+Datos!Z14-(Datos!T14+Datos!AH14))/(Datos!T14+Datos!AH14))
     ),IF(J_V="SI",(Datos!J14-Datos!T14)/Datos!T14,(Datos!J14+Datos!Z14-(Datos!T14+Datos!AH14))/(Datos!T14+Datos!AH14))," - ")</f>
        <v>0.29390018484288355</v>
      </c>
      <c r="D14" s="1152">
        <f>IF(ISNUMBER(
   IF(J_V="SI",(Datos!K14-Datos!U14)/Datos!U14,(Datos!K14+Datos!AA14-(Datos!U14+Datos!AI14))/(Datos!U14+Datos!AI14))
     ),IF(J_V="SI",(Datos!K14-Datos!U14)/Datos!U14,(Datos!K14+Datos!AA14-(Datos!U14+Datos!AI14))/(Datos!U14+Datos!AI14))," - ")</f>
        <v>0.34686346863468637</v>
      </c>
      <c r="E14" s="1152">
        <f>IF(ISNUMBER(
   IF(J_V="SI",(Datos!L14-Datos!V14)/Datos!V14,(Datos!L14+Datos!AB14-(Datos!V14+Datos!AJ14))/(Datos!V14+Datos!AJ14))
     ),IF(J_V="SI",(Datos!L14-Datos!V14)/Datos!V14,(Datos!L14+Datos!AB14-(Datos!V14+Datos!AJ14))/(Datos!V14+Datos!AJ14))," - ")</f>
        <v>5.9941520467836254E-2</v>
      </c>
      <c r="F14" s="1153">
        <f>IF(ISNUMBER((Datos!M14-Datos!W14)/Datos!W14),(Datos!M14-Datos!W14)/Datos!W14," - ")</f>
        <v>0.30107526881720431</v>
      </c>
      <c r="G14" s="1154">
        <f>IF(ISNUMBER((Datos!N14-Datos!X14)/Datos!X14),(Datos!N14-Datos!X14)/Datos!X14," - ")</f>
        <v>0.21397379912663755</v>
      </c>
      <c r="H14" s="1154">
        <f>IF(ISNUMBER(((NºAsuntos!G14/NºAsuntos!E14)-Datos!BD14)/Datos!BD14),((NºAsuntos!G14/NºAsuntos!E14)-Datos!BD14)/Datos!BD14," - ")</f>
        <v>4.0933052187664777E-2</v>
      </c>
      <c r="I14" s="1154">
        <f>IF(ISNUMBER(((NºAsuntos!I14/NºAsuntos!G14)-Datos!BE14)/Datos!BE14),((NºAsuntos!I14/NºAsuntos!G14)-Datos!BE14)/Datos!BE14," - ")</f>
        <v>-0.21302972041977092</v>
      </c>
      <c r="J14" s="1154">
        <f>IF(ISNUMBER((('Resol  Asuntos'!D14/NºAsuntos!G14)-Datos!BF14)/Datos!BF14),(('Resol  Asuntos'!D14/NºAsuntos!G14)-Datos!BF14)/Datos!BF14," - ")</f>
        <v>-0.60769276784111981</v>
      </c>
      <c r="K14" s="1154">
        <f>IF(ISNUMBER((((NºAsuntos!C14+NºAsuntos!E14)/NºAsuntos!G14)-Datos!BG14)/Datos!BG14),(((NºAsuntos!C14+NºAsuntos!E14)/NºAsuntos!G14)-Datos!BG14)/Datos!BG14," - ")</f>
        <v>-0.15257835472997205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7.3113207547169809E-2</v>
      </c>
      <c r="C17" s="515">
        <f>IF(ISNUMBER(
   IF(D_I="SI",(Datos!J17-Datos!T17)/Datos!T17,(Datos!J17+Datos!AD17-(Datos!T17+Datos!AL17))/(Datos!T17+Datos!AL17))
     ),IF(D_I="SI",(Datos!J17-Datos!T17)/Datos!T17,(Datos!J17+Datos!AD17-(Datos!T17+Datos!AL17))/(Datos!T17+Datos!AL17))," - ")</f>
        <v>-2.8490028490028491E-3</v>
      </c>
      <c r="D17" s="515">
        <f>IF(ISNUMBER(
   IF(D_I="SI",(Datos!K17-Datos!U17)/Datos!U17,(Datos!K17+Datos!AE17-(Datos!U17+Datos!AM17))/(Datos!U17+Datos!AM17))
     ),IF(D_I="SI",(Datos!K17-Datos!U17)/Datos!U17,(Datos!K17+Datos!AE17-(Datos!U17+Datos!AM17))/(Datos!U17+Datos!AM17))," - ")</f>
        <v>-0.1273792093704246</v>
      </c>
      <c r="E17" s="515">
        <f>IF(ISNUMBER(
   IF(D_I="SI",(Datos!L17-Datos!V17)/Datos!V17,(Datos!L17+Datos!AF17-(Datos!V17+Datos!AN17))/(Datos!V17+Datos!AN17))
     ),IF(D_I="SI",(Datos!L17-Datos!V17)/Datos!V17,(Datos!L17+Datos!AF17-(Datos!V17+Datos!AN17))/(Datos!V17+Datos!AN17))," - ")</f>
        <v>0.16955017301038061</v>
      </c>
      <c r="F17" s="515">
        <f>IF(ISNUMBER((Datos!M17-Datos!W17)/Datos!W17),(Datos!M17-Datos!W17)/Datos!W17," - ")</f>
        <v>8.8607594936708861E-2</v>
      </c>
      <c r="G17" s="516">
        <f>IF(ISNUMBER((Datos!N17-Datos!X17)/Datos!X17),(Datos!N17-Datos!X17)/Datos!X17," - ")</f>
        <v>-7.0422535211267609E-2</v>
      </c>
      <c r="H17" s="514">
        <f>IF(ISNUMBER(((NºAsuntos!G17/NºAsuntos!E17)-Datos!BD17)/Datos!BD17),((NºAsuntos!G17/NºAsuntos!E17)-Datos!BD17)/Datos!BD17," - ")</f>
        <v>-0.12488600711148291</v>
      </c>
      <c r="I17" s="515">
        <f>IF(ISNUMBER(((NºAsuntos!I17/NºAsuntos!G17)-Datos!BE17)/Datos!BE17),((NºAsuntos!I17/NºAsuntos!G17)-Datos!BE17)/Datos!BE17," - ")</f>
        <v>0.34027310094981533</v>
      </c>
      <c r="J17" s="521">
        <f>IF(ISNUMBER((('Resol  Asuntos'!D17/NºAsuntos!G17)-Datos!BF17)/Datos!BF17),(('Resol  Asuntos'!D17/NºAsuntos!G17)-Datos!BF17)/Datos!BF17," - ")</f>
        <v>0.2475150794325037</v>
      </c>
      <c r="K17" s="522">
        <f>IF(ISNUMBER((((NºAsuntos!C17+NºAsuntos!E17)/NºAsuntos!G17)-Datos!BG17)/Datos!BG17),(((NºAsuntos!C17+NºAsuntos!E17)/NºAsuntos!G17)-Datos!BG17)/Datos!BG17," - ")</f>
        <v>0.19033340549902583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-0.30952380952380953</v>
      </c>
      <c r="C18" s="515">
        <f>IF(ISNUMBER(
   IF(D_I="SI",(Datos!J18-Datos!T18)/Datos!T18,(Datos!J18+Datos!AD18-(Datos!T18+Datos!AL18))/(Datos!T18+Datos!AL18))
     ),IF(D_I="SI",(Datos!J18-Datos!T18)/Datos!T18,(Datos!J18+Datos!AD18-(Datos!T18+Datos!AL18))/(Datos!T18+Datos!AL18))," - ")</f>
        <v>0.46153846153846156</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0.33333333333333331</v>
      </c>
      <c r="G18" s="516">
        <f>IF(ISNUMBER((Datos!N18-Datos!X18)/Datos!X18),(Datos!N18-Datos!X18)/Datos!X18," - ")</f>
        <v>-0.52830188679245282</v>
      </c>
      <c r="H18" s="514">
        <f>IF(ISNUMBER(((NºAsuntos!G18/NºAsuntos!E18)-Datos!BD18)/Datos!BD18),((NºAsuntos!G18/NºAsuntos!E18)-Datos!BD18)/Datos!BD18," - ")</f>
        <v>-0.42105263157894735</v>
      </c>
      <c r="I18" s="515">
        <f>IF(ISNUMBER(((NºAsuntos!I18/NºAsuntos!G18)-Datos!BE18)/Datos!BE18),((NºAsuntos!I18/NºAsuntos!G18)-Datos!BE18)/Datos!BE18," - ")</f>
        <v>0.18181818181818171</v>
      </c>
      <c r="J18" s="521">
        <f>IF(ISNUMBER((('Resol  Asuntos'!D18/NºAsuntos!G18)-Datos!BF18)/Datos!BF18),(('Resol  Asuntos'!D18/NºAsuntos!G18)-Datos!BF18)/Datos!BF18," - ")</f>
        <v>0.57575757575757569</v>
      </c>
      <c r="K18" s="522">
        <f>IF(ISNUMBER((((NºAsuntos!C18+NºAsuntos!E18)/NºAsuntos!G18)-Datos!BG18)/Datos!BG18),(((NºAsuntos!C18+NºAsuntos!E18)/NºAsuntos!G18)-Datos!BG18)/Datos!BG18," - ")</f>
        <v>0.10495195861049524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3.8626609442060089E-2</v>
      </c>
      <c r="C23" s="1152">
        <f>IF(ISNUMBER(
   IF(Criterios!B14="SI",(Datos!J23-Datos!T23)/Datos!T23,(Datos!J23+Datos!AD23-(Datos!T23+Datos!AL23))/(Datos!T23+Datos!AL23))
     ),IF(Criterios!B14="SI",(Datos!J23-Datos!T23)/Datos!T23,(Datos!J23+Datos!AD23-(Datos!T23+Datos!AL23))/(Datos!T23+Datos!AL23))," - ")</f>
        <v>2.1592442645074223E-2</v>
      </c>
      <c r="D23" s="1152">
        <f>IF(ISNUMBER(
   IF(Criterios!B14="SI",(Datos!K23-Datos!U23)/Datos!U23,(Datos!K23+Datos!AE23-(Datos!U23+Datos!AM23))/(Datos!U23+Datos!AM23))
     ),IF(Criterios!B14="SI",(Datos!K23-Datos!U23)/Datos!U23,(Datos!K23+Datos!AE23-(Datos!U23+Datos!AM23))/(Datos!U23+Datos!AM23))," - ")</f>
        <v>-0.12925170068027211</v>
      </c>
      <c r="E23" s="1152">
        <f>IF(ISNUMBER(
   IF(Criterios!B14="SI",(Datos!L23-Datos!V23)/Datos!V23,(Datos!L23+Datos!AF23-(Datos!V23+Datos!AN23))/(Datos!V23+Datos!AN23))
     ),IF(Criterios!B14="SI",(Datos!L23-Datos!V23)/Datos!V23,(Datos!L23+Datos!AF23-(Datos!V23+Datos!AN23))/(Datos!V23+Datos!AN23))," - ")</f>
        <v>0.15671641791044777</v>
      </c>
      <c r="F23" s="1153">
        <f>IF(ISNUMBER((Datos!M23-Datos!W23)/Datos!W23),(Datos!M23-Datos!W23)/Datos!W23," - ")</f>
        <v>0.10588235294117647</v>
      </c>
      <c r="G23" s="1154">
        <f>IF(ISNUMBER((Datos!N23-Datos!X23)/Datos!X23),(Datos!N23-Datos!X23)/Datos!X23," - ")</f>
        <v>-0.12990196078431374</v>
      </c>
      <c r="H23" s="1154">
        <f>IF(ISNUMBER(((NºAsuntos!G23/NºAsuntos!E23)-Datos!BD23)/Datos!BD23),((NºAsuntos!G23/NºAsuntos!E23)-Datos!BD23)/Datos!BD23," - ")</f>
        <v>-0.14765589194726766</v>
      </c>
      <c r="I23" s="1154">
        <f>IF(ISNUMBER(((NºAsuntos!I23/NºAsuntos!G23)-Datos!BE23)/Datos!BE23),((NºAsuntos!I23/NºAsuntos!G23)-Datos!BE23)/Datos!BE23," - ")</f>
        <v>0.32841651119402993</v>
      </c>
      <c r="J23" s="1154">
        <f>IF(ISNUMBER((('Resol  Asuntos'!D23/NºAsuntos!G23)-Datos!BF23)/Datos!BF23),(('Resol  Asuntos'!D23/NºAsuntos!G23)-Datos!BF23)/Datos!BF23," - ")</f>
        <v>0.27003676470588234</v>
      </c>
      <c r="K23" s="1154">
        <f>IF(ISNUMBER((((NºAsuntos!C23+NºAsuntos!E23)/NºAsuntos!G23)-Datos!BG23)/Datos!BG23),(((NºAsuntos!C23+NºAsuntos!E23)/NºAsuntos!G23)-Datos!BG23)/Datos!BG23," - ")</f>
        <v>0.18413310669456071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6.3885267275097787E-2</v>
      </c>
      <c r="C31" s="1092">
        <f>IF(ISNUMBER(
   IF(J_V="SI",(Datos!J31-Datos!T31)/Datos!T31,(Datos!J31+Datos!Z31-(Datos!T31+Datos!AH31))/(Datos!T31+Datos!AH31))
     ),IF(J_V="SI",(Datos!J31-Datos!T31)/Datos!T31,(Datos!J31+Datos!Z31-(Datos!T31+Datos!AH31))/(Datos!T31+Datos!AH31))," - ")</f>
        <v>0.13650546021840873</v>
      </c>
      <c r="D31" s="1092">
        <f>IF(ISNUMBER(
   IF(J_V="SI",(Datos!K31-Datos!U31)/Datos!U31,(Datos!K31+Datos!AA31-(Datos!U31+Datos!AI31))/(Datos!U31+Datos!AI31))
     ),IF(J_V="SI",(Datos!K31-Datos!U31)/Datos!U31,(Datos!K31+Datos!AA31-(Datos!U31+Datos!AI31))/(Datos!U31+Datos!AI31))," - ")</f>
        <v>7.2826938136256847E-2</v>
      </c>
      <c r="E31" s="1092">
        <f>IF(ISNUMBER(
   IF(J_V="SI",(Datos!L31-Datos!V31)/Datos!V31,(Datos!L31+Datos!AB31-(Datos!V31+Datos!AJ31))/(Datos!V31+Datos!AJ31))
     ),IF(J_V="SI",(Datos!L31-Datos!V31)/Datos!V31,(Datos!L31+Datos!AB31-(Datos!V31+Datos!AJ31))/(Datos!V31+Datos!AJ31))," - ")</f>
        <v>9.9306157849089333E-2</v>
      </c>
      <c r="F31" s="1093">
        <f>IF(ISNUMBER((Datos!M31-Datos!W31)/Datos!W31),(Datos!M31-Datos!W31)/Datos!W31," - ")</f>
        <v>0.20786516853932585</v>
      </c>
      <c r="G31" s="1094">
        <f>IF(ISNUMBER((Datos!N31-Datos!X31)/Datos!X31),(Datos!N31-Datos!X31)/Datos!X31," - ")</f>
        <v>-6.2794348508634227E-3</v>
      </c>
      <c r="H31" s="1095">
        <f>IF(ISNUMBER((Tasas!B31-Datos!BD31)/Datos!BD31),(Tasas!B31-Datos!BD31)/Datos!BD31," - ")</f>
        <v>-5.6030106595277053E-2</v>
      </c>
      <c r="I31" s="1096">
        <f>IF(ISNUMBER((Tasas!C31-Datos!BE31)/Datos!BE31),(Tasas!C31-Datos!BE31)/Datos!BE31," - ")</f>
        <v>2.4681725235976011E-2</v>
      </c>
      <c r="J31" s="1097">
        <f>IF(ISNUMBER((Tasas!D31-Datos!BF31)/Datos!BF31),(Tasas!D31-Datos!BF31)/Datos!BF31," - ")</f>
        <v>-0.36176716723232133</v>
      </c>
      <c r="K31" s="1097">
        <f>IF(ISNUMBER((Tasas!E31-Datos!BG31)/Datos!BG31),(Tasas!E31-Datos!BG31)/Datos!BG31," - ")</f>
        <v>1.5885028856868655E-2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o4fILGT7NwLxn4N5R7Hj4Xir+21Qts7reJcYCv0Crb8o5WW6uq+5Xh546GLm1aEpyw5RuVLRpGubG8y7Qh40w==" saltValue="/r/IHDx/5HPZw8fEnP5y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PICASSENT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1.0473457675753228</v>
      </c>
      <c r="C12" s="498">
        <f>IF(ISNUMBER(NºAsuntos!I12/NºAsuntos!G12),NºAsuntos!I12/NºAsuntos!G12," - ")</f>
        <v>1.9753424657534246</v>
      </c>
      <c r="D12" s="499">
        <f>IF(ISNUMBER('Resol  Asuntos'!D12/NºAsuntos!G12),'Resol  Asuntos'!D12/NºAsuntos!G12," - ")</f>
        <v>0.16575342465753426</v>
      </c>
      <c r="E12" s="500">
        <f>IF(ISNUMBER((NºAsuntos!C12+NºAsuntos!E12)/NºAsuntos!G12),(NºAsuntos!C12+NºAsuntos!E12)/NºAsuntos!G12," - ")</f>
        <v>2.9753424657534246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1.0428571428571429</v>
      </c>
      <c r="C14" s="1156">
        <f>IF(ISNUMBER(NºAsuntos!I14/NºAsuntos!G14),NºAsuntos!I14/NºAsuntos!G14," - ")</f>
        <v>1.9863013698630136</v>
      </c>
      <c r="D14" s="1157">
        <f>IF(ISNUMBER('Resol  Asuntos'!D14/NºAsuntos!G14),'Resol  Asuntos'!D14/NºAsuntos!G14," - ")</f>
        <v>0.16575342465753426</v>
      </c>
      <c r="E14" s="1158">
        <f>IF(ISNUMBER((NºAsuntos!C14+NºAsuntos!E14)/NºAsuntos!G14),(NºAsuntos!C14+NºAsuntos!E14)/NºAsuntos!G14," - ")</f>
        <v>2.9863013698630136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0.85142857142857142</v>
      </c>
      <c r="C17" s="498">
        <f>IF(ISNUMBER(NºAsuntos!I17/NºAsuntos!G17),NºAsuntos!I17/NºAsuntos!G17," - ")</f>
        <v>1.7013422818791946</v>
      </c>
      <c r="D17" s="499">
        <f>IF(ISNUMBER('Resol  Asuntos'!D17/NºAsuntos!G17),'Resol  Asuntos'!D17/NºAsuntos!G17," - ")</f>
        <v>0.14429530201342283</v>
      </c>
      <c r="E17" s="500">
        <f>IF(ISNUMBER((NºAsuntos!C17+NºAsuntos!E17)/NºAsuntos!G17),(NºAsuntos!C17+NºAsuntos!E17)/NºAsuntos!G17," - ")</f>
        <v>2.7013422818791946</v>
      </c>
      <c r="G17" s="523"/>
    </row>
    <row r="18" spans="1:7">
      <c r="A18" s="450" t="str">
        <f>Datos!A18</f>
        <v>Jdos. Violencia contra la mujer</v>
      </c>
      <c r="B18" s="497">
        <f>IF(ISNUMBER(NºAsuntos!G18/NºAsuntos!E18),NºAsuntos!G18/NºAsuntos!E18," - ")</f>
        <v>0.77192982456140347</v>
      </c>
      <c r="C18" s="498">
        <f>IF(ISNUMBER(NºAsuntos!I18/NºAsuntos!G18),NºAsuntos!I18/NºAsuntos!G18," - ")</f>
        <v>1.6136363636363635</v>
      </c>
      <c r="D18" s="499">
        <f>IF(ISNUMBER('Resol  Asuntos'!D18/NºAsuntos!G18),'Resol  Asuntos'!D18/NºAsuntos!G18," - ")</f>
        <v>0.18181818181818182</v>
      </c>
      <c r="E18" s="500">
        <f>IF(ISNUMBER((NºAsuntos!C18+NºAsuntos!E18)/NºAsuntos!G18),(NºAsuntos!C18+NºAsuntos!E18)/NºAsuntos!G18," - ")</f>
        <v>2.6136363636363638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0.84544253632760902</v>
      </c>
      <c r="C23" s="1156">
        <f>IF(ISNUMBER(NºAsuntos!I23/NºAsuntos!G23),NºAsuntos!I23/NºAsuntos!G23," - ")</f>
        <v>1.6953125</v>
      </c>
      <c r="D23" s="1159">
        <f>IF(ISNUMBER('Resol  Asuntos'!D23/NºAsuntos!G23),'Resol  Asuntos'!D23/NºAsuntos!G23," - ")</f>
        <v>0.14687500000000001</v>
      </c>
      <c r="E23" s="1158">
        <f>IF(ISNUMBER((NºAsuntos!C23+NºAsuntos!E23)/NºAsuntos!G23),(NºAsuntos!C23+NºAsuntos!E23)/NºAsuntos!G23," - ")</f>
        <v>2.6953125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0.94028826355525053</v>
      </c>
      <c r="C31" s="1099">
        <f>IF(ISNUMBER(NºAsuntos!I31/NºAsuntos!G31),NºAsuntos!I31/NºAsuntos!G31," - ")</f>
        <v>1.8503649635036497</v>
      </c>
      <c r="D31" s="1100">
        <f>IF(ISNUMBER('Resol  Asuntos'!D31/NºAsuntos!G31),'Resol  Asuntos'!D31/NºAsuntos!G31," - ")</f>
        <v>0.15693430656934307</v>
      </c>
      <c r="E31" s="1101">
        <f>IF(ISNUMBER((NºAsuntos!C31+NºAsuntos!E31)/NºAsuntos!G31),(NºAsuntos!C31+NºAsuntos!E31)/NºAsuntos!G31," - ")</f>
        <v>2.8503649635036497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vYh5BI2/8EYfvFaMEJmMiSfUfWPxPSTiW5hLHuPuTfkN5kKaFqHZItv6Tcq2W03mgEwokGoQ5PiKAf3lARUPA==" saltValue="DBsczD7G7WIOapc8lvJl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PICASSENT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1.0473457675753228</v>
      </c>
      <c r="AM12" s="284">
        <f>IF(ISNUMBER(((NºAsuntos!I12/NºAsuntos!G12)*11)/factor_trimestre),((NºAsuntos!I12/NºAsuntos!G12)*11)/factor_trimestre," - ")</f>
        <v>3.9506849315068493</v>
      </c>
      <c r="AN12" s="267">
        <f>IF(ISNUMBER('Resol  Asuntos'!D12/NºAsuntos!G12),'Resol  Asuntos'!D12/NºAsuntos!G12," - ")</f>
        <v>0.16575342465753426</v>
      </c>
      <c r="AO12" s="268">
        <f>IF(ISNUMBER((NºAsuntos!C12+NºAsuntos!E12)/NºAsuntos!G12),(NºAsuntos!C12+NºAsuntos!E12)/NºAsuntos!G12," - ")</f>
        <v>2.9753424657534246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v>
      </c>
      <c r="G14" s="1163">
        <f t="shared" si="5"/>
        <v>5</v>
      </c>
      <c r="H14" s="1162">
        <f t="shared" si="5"/>
        <v>0</v>
      </c>
      <c r="I14" s="1164">
        <f t="shared" si="5"/>
        <v>0</v>
      </c>
      <c r="J14" s="1164">
        <f t="shared" si="5"/>
        <v>0</v>
      </c>
      <c r="K14" s="1164">
        <f t="shared" si="5"/>
        <v>0</v>
      </c>
      <c r="L14" s="1164">
        <f t="shared" si="5"/>
        <v>148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92</v>
      </c>
      <c r="Y14" s="1165">
        <f t="shared" si="6"/>
        <v>92</v>
      </c>
      <c r="Z14" s="1165">
        <f t="shared" si="6"/>
        <v>0</v>
      </c>
      <c r="AA14" s="1165">
        <f t="shared" si="6"/>
        <v>8</v>
      </c>
      <c r="AB14" s="1165">
        <f t="shared" si="6"/>
        <v>3147</v>
      </c>
      <c r="AC14" s="1165">
        <f t="shared" si="6"/>
        <v>8</v>
      </c>
      <c r="AD14" s="1165">
        <f t="shared" si="6"/>
        <v>0</v>
      </c>
      <c r="AE14" s="1169">
        <f t="shared" si="6"/>
        <v>0</v>
      </c>
      <c r="AF14" s="1162">
        <f t="shared" si="6"/>
        <v>0</v>
      </c>
      <c r="AG14" s="1170">
        <f t="shared" si="6"/>
        <v>0</v>
      </c>
      <c r="AH14" s="1167">
        <f t="shared" si="6"/>
        <v>0</v>
      </c>
      <c r="AI14" s="1162">
        <f t="shared" si="6"/>
        <v>121</v>
      </c>
      <c r="AJ14" s="1164">
        <f t="shared" si="6"/>
        <v>0</v>
      </c>
      <c r="AK14" s="1167">
        <f>SUBTOTAL(9,AK9:AK13)</f>
        <v>0</v>
      </c>
      <c r="AL14" s="1171">
        <f>IF(ISNUMBER(NºAsuntos!G14/NºAsuntos!E14),NºAsuntos!G14/NºAsuntos!E14," - ")</f>
        <v>1.0428571428571429</v>
      </c>
      <c r="AM14" s="1171">
        <f>IF(ISNUMBER(((NºAsuntos!I14/NºAsuntos!G14)*11)/factor_trimestre),((NºAsuntos!I14/NºAsuntos!G14)*11)/factor_trimestre," - ")</f>
        <v>3.9726027397260277</v>
      </c>
      <c r="AN14" s="1172">
        <f>IF(ISNUMBER('Resol  Asuntos'!D14/NºAsuntos!G14),'Resol  Asuntos'!D14/NºAsuntos!G14," - ")</f>
        <v>0.16575342465753426</v>
      </c>
      <c r="AO14" s="1173">
        <f>IF(ISNUMBER((NºAsuntos!C14+NºAsuntos!E14)/NºAsuntos!G14),(NºAsuntos!C14+NºAsuntos!E14)/NºAsuntos!G14," - ")</f>
        <v>2.9863013698630136</v>
      </c>
      <c r="AP14" s="1174" t="str">
        <f t="shared" si="2"/>
        <v xml:space="preserve"> - </v>
      </c>
      <c r="AQ14" s="1174">
        <f>IF(ISNUMBER((H14-W14+K14)/(F14)),(H14-W14+K14)/(F14)," - ")</f>
        <v>0</v>
      </c>
      <c r="AR14" s="1175">
        <f>IF(ISNUMBER((Datos!P14-Datos!Q14)/(Datos!R14-Datos!P14+Datos!Q14)),(Datos!P14-Datos!Q14)/(Datos!R14-Datos!P14+Datos!Q14)," - ")</f>
        <v>1.8117114202523456E-2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910</v>
      </c>
      <c r="G17" s="373">
        <f>IF(ISNUMBER(IF(D_I="SI",Datos!I17,Datos!I17+Datos!AC17)),IF(D_I="SI",Datos!I17,Datos!I17+Datos!AC17)," - ")</f>
        <v>910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596</v>
      </c>
      <c r="X17" s="240">
        <f>IF(ISNUMBER(Datos!Q17),Datos!Q17," - ")</f>
        <v>19</v>
      </c>
      <c r="Y17" s="374">
        <f t="shared" ref="Y17:Y22" si="9">SUM(W17:X17)</f>
        <v>615</v>
      </c>
      <c r="Z17" s="375" t="str">
        <f>IF(ISNUMBER(Datos!CC17),Datos!CC17," - ")</f>
        <v xml:space="preserve"> - </v>
      </c>
      <c r="AA17" s="372">
        <f>IF(ISNUMBER(IF(D_I="SI",Datos!L17,Datos!L17+Datos!AF17)),IF(D_I="SI",Datos!L17,Datos!L17+Datos!AF17)," - ")</f>
        <v>1014</v>
      </c>
      <c r="AB17" s="374">
        <f>IF(ISNUMBER(Datos!R17),Datos!R17," - ")</f>
        <v>155</v>
      </c>
      <c r="AC17" s="374">
        <f t="shared" si="8"/>
        <v>1169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0.85142857142857142</v>
      </c>
      <c r="AM17" s="284">
        <f>IF(ISNUMBER(((NºAsuntos!I17/NºAsuntos!G17)*11)/factor_trimestre),((NºAsuntos!I17/NºAsuntos!G17)*11)/factor_trimestre," - ")</f>
        <v>3.4026845637583891</v>
      </c>
      <c r="AN17" s="267">
        <f>IF(ISNUMBER('Resol  Asuntos'!D17/NºAsuntos!G17),'Resol  Asuntos'!D17/NºAsuntos!G17," - ")</f>
        <v>0.14429530201342283</v>
      </c>
      <c r="AO17" s="268">
        <f>IF(ISNUMBER((NºAsuntos!C17+NºAsuntos!E17)/NºAsuntos!G17),(NºAsuntos!C17+NºAsuntos!E17)/NºAsuntos!G17," - ")</f>
        <v>2.7013422818791946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2</v>
      </c>
      <c r="Y18" s="374">
        <f t="shared" si="9"/>
        <v>46</v>
      </c>
      <c r="Z18" s="375" t="str">
        <f>IF(ISNUMBER(Datos!CC18),Datos!CC18," - ")</f>
        <v xml:space="preserve"> - </v>
      </c>
      <c r="AA18" s="372">
        <f>IF(ISNUMBER(Datos!L18),Datos!L18,"-")</f>
        <v>71</v>
      </c>
      <c r="AB18" s="374">
        <f>IF(ISNUMBER(Datos!R18),Datos!R18," - ")</f>
        <v>0</v>
      </c>
      <c r="AC18" s="374">
        <f t="shared" si="8"/>
        <v>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0.77192982456140347</v>
      </c>
      <c r="AM18" s="284">
        <f>IF(ISNUMBER(((NºAsuntos!I18/NºAsuntos!G18)*11)/factor_trimestre),((NºAsuntos!I18/NºAsuntos!G18)*11)/factor_trimestre," - ")</f>
        <v>3.2272727272727271</v>
      </c>
      <c r="AN18" s="267">
        <f>IF(ISNUMBER('Resol  Asuntos'!D18/NºAsuntos!G18),'Resol  Asuntos'!D18/NºAsuntos!G18," - ")</f>
        <v>0.18181818181818182</v>
      </c>
      <c r="AO18" s="268">
        <f>IF(ISNUMBER((NºAsuntos!C18+NºAsuntos!E18)/NºAsuntos!G18),(NºAsuntos!C18+NºAsuntos!E18)/NºAsuntos!G18," - ")</f>
        <v>2.6136363636363638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910</v>
      </c>
      <c r="G23" s="1163">
        <f>SUBTOTAL(9,G16:G22)</f>
        <v>968</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640</v>
      </c>
      <c r="X23" s="1164">
        <f t="shared" si="14"/>
        <v>21</v>
      </c>
      <c r="Y23" s="1165">
        <f t="shared" si="14"/>
        <v>661</v>
      </c>
      <c r="Z23" s="1165">
        <f t="shared" si="14"/>
        <v>0</v>
      </c>
      <c r="AA23" s="1165">
        <f t="shared" si="14"/>
        <v>1085</v>
      </c>
      <c r="AB23" s="1165">
        <f t="shared" si="14"/>
        <v>155</v>
      </c>
      <c r="AC23" s="1165">
        <f t="shared" si="14"/>
        <v>1240</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0.84544253632760902</v>
      </c>
      <c r="AM23" s="1171">
        <f>IF(ISNUMBER(((NºAsuntos!I23/NºAsuntos!G23)*11)/factor_trimestre),((NºAsuntos!I23/NºAsuntos!G23)*11)/factor_trimestre," - ")</f>
        <v>3.390625</v>
      </c>
      <c r="AN23" s="1172">
        <f>IF(ISNUMBER('Resol  Asuntos'!D23/NºAsuntos!G23),'Resol  Asuntos'!D23/NºAsuntos!G23," - ")</f>
        <v>0.14687500000000001</v>
      </c>
      <c r="AO23" s="1173">
        <f>IF(ISNUMBER((NºAsuntos!C23+NºAsuntos!E23)/NºAsuntos!G23),(NºAsuntos!C23+NºAsuntos!E23)/NºAsuntos!G23," - ")</f>
        <v>2.6953125</v>
      </c>
      <c r="AP23" s="1174" t="str">
        <f t="shared" si="2"/>
        <v xml:space="preserve"> - </v>
      </c>
      <c r="AQ23" s="1174">
        <f>IF(ISNUMBER((H23-W23+K23)/(F23)),(H23-W23+K23)/(F23)," - ")</f>
        <v>-0.70329670329670335</v>
      </c>
      <c r="AR23" s="1175">
        <f>IF(ISNUMBER((Datos!P23-Datos!Q23)/(Datos!R23-Datos!P23+Datos!Q23)),(Datos!P23-Datos!Q23)/(Datos!R23-Datos!P23+Datos!Q23)," - ")</f>
        <v>9.9290780141843976E-2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915</v>
      </c>
      <c r="G31" s="1118">
        <f t="shared" si="20"/>
        <v>973</v>
      </c>
      <c r="H31" s="1117">
        <f t="shared" si="20"/>
        <v>0</v>
      </c>
      <c r="I31" s="1119">
        <f t="shared" si="20"/>
        <v>0</v>
      </c>
      <c r="J31" s="1119">
        <f t="shared" si="20"/>
        <v>0</v>
      </c>
      <c r="K31" s="1180">
        <f t="shared" si="20"/>
        <v>0</v>
      </c>
      <c r="L31" s="1119">
        <f t="shared" si="20"/>
        <v>183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640</v>
      </c>
      <c r="X31" s="1118">
        <f t="shared" si="21"/>
        <v>113</v>
      </c>
      <c r="Y31" s="1125">
        <f t="shared" si="21"/>
        <v>753</v>
      </c>
      <c r="Z31" s="1125">
        <f t="shared" si="21"/>
        <v>0</v>
      </c>
      <c r="AA31" s="1125">
        <f t="shared" si="21"/>
        <v>1093</v>
      </c>
      <c r="AB31" s="1125">
        <f t="shared" si="21"/>
        <v>3302</v>
      </c>
      <c r="AC31" s="1125">
        <f t="shared" si="21"/>
        <v>1248</v>
      </c>
      <c r="AD31" s="1125">
        <f t="shared" si="21"/>
        <v>0</v>
      </c>
      <c r="AE31" s="1127">
        <f t="shared" si="21"/>
        <v>0</v>
      </c>
      <c r="AF31" s="1128">
        <f t="shared" si="21"/>
        <v>0</v>
      </c>
      <c r="AG31" s="1129">
        <f t="shared" si="21"/>
        <v>0</v>
      </c>
      <c r="AH31" s="1127">
        <f t="shared" si="21"/>
        <v>0</v>
      </c>
      <c r="AI31" s="1117">
        <f t="shared" si="21"/>
        <v>215</v>
      </c>
      <c r="AJ31" s="1117">
        <f t="shared" si="21"/>
        <v>0</v>
      </c>
      <c r="AK31" s="1127">
        <f t="shared" si="21"/>
        <v>0</v>
      </c>
      <c r="AL31" s="1183">
        <f>IF(ISNUMBER(NºAsuntos!G31/NºAsuntos!E31),NºAsuntos!G31/NºAsuntos!E31," - ")</f>
        <v>0.94028826355525053</v>
      </c>
      <c r="AM31" s="1184">
        <f>IF(ISNUMBER(((NºAsuntos!I31/NºAsuntos!G31)*11)/factor_trimestre),((NºAsuntos!I31/NºAsuntos!G31)*11)/factor_trimestre," - ")</f>
        <v>3.7007299270072993</v>
      </c>
      <c r="AN31" s="1184">
        <f>IF(ISNUMBER('Resol  Asuntos'!D31/NºAsuntos!G31),'Resol  Asuntos'!D31/NºAsuntos!G31," - ")</f>
        <v>0.15693430656934307</v>
      </c>
      <c r="AO31" s="1185">
        <f>IF(ISNUMBER((NºAsuntos!C31+NºAsuntos!E31)/NºAsuntos!G31),(NºAsuntos!C31+NºAsuntos!E31)/NºAsuntos!G31," - ")</f>
        <v>2.8503649635036497</v>
      </c>
      <c r="AP31" s="1186" t="str">
        <f t="shared" si="2"/>
        <v xml:space="preserve"> - </v>
      </c>
      <c r="AQ31" s="1187">
        <f>IF(OR(ISNUMBER(FIND("01",Criterios!A8,1)),ISNUMBER(FIND("02",Criterios!A8,1)),ISNUMBER(FIND("03",Criterios!A8,1)),ISNUMBER(FIND("04",Criterios!A8,1))),(I31-W31+K31)/(F31-K31),(H31-W31+K31)/(F31-K31))</f>
        <v>-0.69945355191256831</v>
      </c>
      <c r="AR31" s="1188">
        <f>IF(ISNUMBER((Datos!P31-Datos!Q31)/(Datos!R31-Datos!P31+Datos!Q31)),(Datos!P31-Datos!Q31)/(Datos!R31-Datos!P31+Datos!Q31)," - ")</f>
        <v>2.1658415841584157E-2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468.63631954853861</v>
      </c>
      <c r="G33" s="277">
        <f>IF(ISNUMBER(STDEV(G8:G30)),STDEV(G8:G30),"-")</f>
        <v>452.31810340364075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297.96388403710307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56.651188362267767</v>
      </c>
      <c r="AJ33" s="276">
        <f t="shared" si="25"/>
        <v>0</v>
      </c>
      <c r="AK33" s="278">
        <f t="shared" si="25"/>
        <v>0</v>
      </c>
      <c r="AL33" s="273">
        <f t="shared" si="25"/>
        <v>0.38883866048071314</v>
      </c>
      <c r="AM33" s="274">
        <f t="shared" si="25"/>
        <v>0.34744765737049677</v>
      </c>
      <c r="AN33" s="274">
        <f t="shared" si="25"/>
        <v>1.546850354963895E-2</v>
      </c>
      <c r="AO33" s="275">
        <f t="shared" si="25"/>
        <v>0.17372382868524827</v>
      </c>
      <c r="AP33" s="317" t="str">
        <f t="shared" si="25"/>
        <v>-</v>
      </c>
      <c r="AQ33" s="318">
        <f t="shared" si="25"/>
        <v>0.49730586808724225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7ZrfxeUEQwA3/2fBwLd+VNVJn3z/yndlvUej24QFQU7CoBW4Wc+rZ9P1GoWh1pE1vnL/yjnsDAwRK5dIuwEoQ==" saltValue="N0jgHX7jKZCZNdbG+s1E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PICASSENT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-0.25</v>
      </c>
      <c r="F10" s="393">
        <f>IF(ISNUMBER((Datos!K10-Datos!U10)/Datos!U10),(Datos!K10-Datos!U10)/Datos!U10," - ")</f>
        <v>-1</v>
      </c>
      <c r="G10" s="394">
        <f>IF(ISNUMBER((Datos!L10-Datos!V10)/Datos!V10),(Datos!L10-Datos!V10)/Datos!V10," - ")</f>
        <v>-0.2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0.30107526881720431</v>
      </c>
      <c r="I12" s="395">
        <f>IF(ISNUMBER((Tasas!C12-Datos!BE12)/Datos!BE12),(Tasas!C12-Datos!BE12)/Datos!BE12," - ")</f>
        <v>-0.21451772348538337</v>
      </c>
      <c r="J12" s="394">
        <f>IF(ISNUMBER((Tasas!D12-Datos!BF12)/Datos!BF12),(Tasas!D12-Datos!BF12)/Datos!BF12," - ")</f>
        <v>-0.60914039600406755</v>
      </c>
      <c r="K12" s="396">
        <f>IF(ISNUMBER((Tasas!E12-Datos!BG12)/Datos!BG12),(Tasas!E12-Datos!BG12)/Datos!BG12," - ")</f>
        <v>-0.15348528371609621</v>
      </c>
      <c r="M12" t="e">
        <f>IF(Monitorios="SI",Datos!CE12,0)</f>
        <v>#REF!</v>
      </c>
      <c r="N12" t="e">
        <f>IF(Monitorios="SI",Datos!CF12,0)</f>
        <v>#REF!</v>
      </c>
      <c r="O12" t="e">
        <f>IF(Monitorios="SI",Datos!CG12,0)</f>
        <v>#REF!</v>
      </c>
      <c r="P12" t="e">
        <f>IF(Monitorios="SI",Datos!CH12,0)</f>
        <v>#REF!</v>
      </c>
      <c r="Q12">
        <f>IF(J_V="SI",0,Datos!AG12)</f>
        <v>151</v>
      </c>
      <c r="R12">
        <f>IF(J_V="SI",0,Datos!AH12)</f>
        <v>81</v>
      </c>
      <c r="S12">
        <f>IF(J_V="SI",0,Datos!AI12)</f>
        <v>70</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0.30107526881720431</v>
      </c>
      <c r="I14" s="402">
        <f>IF(ISNUMBER((Tasas!C14-Datos!BE14)/Datos!BE14),(Tasas!C14-Datos!BE14)/Datos!BE14," - ")</f>
        <v>-0.21302972041977092</v>
      </c>
      <c r="J14" s="400">
        <f>IF(ISNUMBER((Tasas!D14-Datos!BF14)/Datos!BF14),(Tasas!D14-Datos!BF14)/Datos!BF14," - ")</f>
        <v>-0.60769276784111981</v>
      </c>
      <c r="K14" s="403">
        <f>IF(ISNUMBER((Tasas!E14-Datos!BG14)/Datos!BG14),(Tasas!E14-Datos!BG14)/Datos!BG14," - ")</f>
        <v>-0.15257835472997205</v>
      </c>
      <c r="M14" t="e">
        <f>IF(Monitorios="SI",Datos!CE14,0)</f>
        <v>#REF!</v>
      </c>
      <c r="N14" t="e">
        <f>IF(Monitorios="SI",Datos!CF14,0)</f>
        <v>#REF!</v>
      </c>
      <c r="O14" t="e">
        <f>IF(Monitorios="SI",Datos!CG14,0)</f>
        <v>#REF!</v>
      </c>
      <c r="P14" t="e">
        <f>IF(Monitorios="SI",Datos!CH14,0)</f>
        <v>#REF!</v>
      </c>
      <c r="Q14">
        <f>IF(J_V="SI",0,Datos!AG14)</f>
        <v>151</v>
      </c>
      <c r="R14">
        <f>IF(J_V="SI",0,Datos!AH14)</f>
        <v>81</v>
      </c>
      <c r="S14">
        <f>IF(J_V="SI",0,Datos!AI14)</f>
        <v>70</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7.3113207547169809E-2</v>
      </c>
      <c r="E17" s="393">
        <f>IF(ISNUMBER(
   IF(D_I="SI",(Datos!J17-Datos!T17)/Datos!T17,(Datos!J17+Datos!AD17-(Datos!T17+Datos!AL17))/(Datos!T17+Datos!AL17))
     ),IF(D_I="SI",(Datos!J17-Datos!T17)/Datos!T17,(Datos!J17+Datos!AD17-(Datos!T17+Datos!AL17))/(Datos!T17+Datos!AL17))," - ")</f>
        <v>-2.8490028490028491E-3</v>
      </c>
      <c r="F17" s="393">
        <f>IF(ISNUMBER(
   IF(D_I="SI",(Datos!K17-Datos!U17)/Datos!U17,(Datos!K17+Datos!AE17-(Datos!U17+Datos!AM17))/(Datos!U17+Datos!AM17))
     ),IF(D_I="SI",(Datos!K17-Datos!U17)/Datos!U17,(Datos!K17+Datos!AE17-(Datos!U17+Datos!AM17))/(Datos!U17+Datos!AM17))," - ")</f>
        <v>-0.1273792093704246</v>
      </c>
      <c r="G17" s="394">
        <f>IF(ISNUMBER(
   IF(D_I="SI",(Datos!L17-Datos!V17)/Datos!V17,(Datos!L17+Datos!AF17-(Datos!V17+Datos!AN17))/(Datos!V17+Datos!AN17))
     ),IF(D_I="SI",(Datos!L17-Datos!V17)/Datos!V17,(Datos!L17+Datos!AF17-(Datos!V17+Datos!AN17))/(Datos!V17+Datos!AN17))," - ")</f>
        <v>0.16955017301038061</v>
      </c>
      <c r="H17" s="244">
        <f>IF(ISNUMBER((Datos!M17-Datos!W17)/Datos!W17),(Datos!M17-Datos!W17)/Datos!W17," - ")</f>
        <v>8.8607594936708861E-2</v>
      </c>
      <c r="I17" s="395">
        <f>IF(ISNUMBER((Tasas!C17-Datos!BE17)/Datos!BE17),(Tasas!C17-Datos!BE17)/Datos!BE17," - ")</f>
        <v>0.34027310094981533</v>
      </c>
      <c r="J17" s="394">
        <f>IF(ISNUMBER((Tasas!D17-Datos!BF17)/Datos!BF17),(Tasas!D17-Datos!BF17)/Datos!BF17," - ")</f>
        <v>0.2475150794325037</v>
      </c>
      <c r="K17" s="396">
        <f>IF(ISNUMBER((Tasas!E17-Datos!BG17)/Datos!BG17),(Tasas!E17-Datos!BG17)/Datos!BG17," - ")</f>
        <v>0.19033340549902583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-0.30952380952380953</v>
      </c>
      <c r="E18" s="393">
        <f>IF(ISNUMBER(
   IF(D_I="SI",(Datos!J18-Datos!T18)/Datos!T18,(Datos!J18+Datos!AD18-(Datos!T18+Datos!AL18))/(Datos!T18+Datos!AL18))
     ),IF(D_I="SI",(Datos!J18-Datos!T18)/Datos!T18,(Datos!J18+Datos!AD18-(Datos!T18+Datos!AL18))/(Datos!T18+Datos!AL18))," - ")</f>
        <v>0.46153846153846156</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0.33333333333333331</v>
      </c>
      <c r="I18" s="395">
        <f>IF(ISNUMBER((Tasas!C18-Datos!BE18)/Datos!BE18),(Tasas!C18-Datos!BE18)/Datos!BE18," - ")</f>
        <v>0.18181818181818171</v>
      </c>
      <c r="J18" s="394">
        <f>IF(ISNUMBER((Tasas!D18-Datos!BF18)/Datos!BF18),(Tasas!D18-Datos!BF18)/Datos!BF18," - ")</f>
        <v>0.57575757575757569</v>
      </c>
      <c r="K18" s="396">
        <f>IF(ISNUMBER((Tasas!E18-Datos!BG18)/Datos!BG18),(Tasas!E18-Datos!BG18)/Datos!BG18," - ")</f>
        <v>0.10495195861049524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3.8626609442060089E-2</v>
      </c>
      <c r="E23" s="399">
        <f>IF(ISNUMBER(
   IF(D_I="SI",(Datos!J23-Datos!T23)/Datos!T23,(Datos!J23+Datos!AD23-(Datos!T23+Datos!AL23))/(Datos!T23+Datos!AL23))
     ),IF(D_I="SI",(Datos!J23-Datos!T23)/Datos!T23,(Datos!J23+Datos!AD23-(Datos!T23+Datos!AL23))/(Datos!T23+Datos!AL23))," - ")</f>
        <v>2.1592442645074223E-2</v>
      </c>
      <c r="F23" s="399">
        <f>IF(ISNUMBER(
   IF(D_I="SI",(Datos!K23-Datos!U23)/Datos!U23,(Datos!K23+Datos!AE23-(Datos!U23+Datos!AM23))/(Datos!U23+Datos!AM23))
     ),IF(D_I="SI",(Datos!K23-Datos!U23)/Datos!U23,(Datos!K23+Datos!AE23-(Datos!U23+Datos!AM23))/(Datos!U23+Datos!AM23))," - ")</f>
        <v>-0.12925170068027211</v>
      </c>
      <c r="G23" s="400">
        <f>IF(ISNUMBER(
   IF(D_I="SI",(Datos!L23-Datos!V23)/Datos!V23,(Datos!L23+Datos!AF23-(Datos!V23+Datos!AN23))/(Datos!V23+Datos!AN23))
     ),IF(D_I="SI",(Datos!L23-Datos!V23)/Datos!V23,(Datos!L23+Datos!AF23-(Datos!V23+Datos!AN23))/(Datos!V23+Datos!AN23))," - ")</f>
        <v>0.15671641791044777</v>
      </c>
      <c r="H23" s="401">
        <f>IF(ISNUMBER((Datos!M23-Datos!W23)/Datos!W23),(Datos!M23-Datos!W23)/Datos!W23," - ")</f>
        <v>0.10588235294117647</v>
      </c>
      <c r="I23" s="402">
        <f>IF(ISNUMBER((Tasas!C23-Datos!BE23)/Datos!BE23),(Tasas!C23-Datos!BE23)/Datos!BE23," - ")</f>
        <v>0.32841651119402993</v>
      </c>
      <c r="J23" s="400">
        <f>IF(ISNUMBER((Tasas!D23-Datos!BF23)/Datos!BF23),(Tasas!D23-Datos!BF23)/Datos!BF23," - ")</f>
        <v>0.27003676470588234</v>
      </c>
      <c r="K23" s="403">
        <f>IF(ISNUMBER((Tasas!E23-Datos!BG23)/Datos!BG23),(Tasas!E23-Datos!BG23)/Datos!BG23," - ")</f>
        <v>0.18413310669456071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6.3885267275097787E-2</v>
      </c>
      <c r="E31" s="409">
        <f>IF(ISNUMBER(
   IF(J_V="SI",(Datos!J31-Datos!T31)/Datos!T31,(Datos!J31+Datos!Z31-(Datos!T31+Datos!AH31))/(Datos!T31+Datos!AH31))
     ),IF(J_V="SI",(Datos!J31-Datos!T31)/Datos!T31,(Datos!J31+Datos!Z31-(Datos!T31+Datos!AH31))/(Datos!T31+Datos!AH31))," - ")</f>
        <v>0.13650546021840873</v>
      </c>
      <c r="F31" s="409">
        <f>IF(ISNUMBER(
   IF(J_V="SI",(Datos!K31-Datos!U31)/Datos!U31,(Datos!K31+Datos!AA31-(Datos!U31+Datos!AI31))/(Datos!U31+Datos!AI31))
     ),IF(J_V="SI",(Datos!K31-Datos!U31)/Datos!U31,(Datos!K31+Datos!AA31-(Datos!U31+Datos!AI31))/(Datos!U31+Datos!AI31))," - ")</f>
        <v>7.2826938136256847E-2</v>
      </c>
      <c r="G31" s="410">
        <f>IF(ISNUMBER(
   IF(J_V="SI",(Datos!L31-Datos!V31)/Datos!V31,(Datos!L31+Datos!AB31-(Datos!V31+Datos!AJ31))/(Datos!V31+Datos!AJ31))
     ),IF(J_V="SI",(Datos!L31-Datos!V31)/Datos!V31,(Datos!L31+Datos!AB31-(Datos!V31+Datos!AJ31))/(Datos!V31+Datos!AJ31))," - ")</f>
        <v>9.9306157849089333E-2</v>
      </c>
      <c r="H31" s="411">
        <f>IF(ISNUMBER((Datos!M31-Datos!W31)/Datos!W31),(Datos!M31-Datos!W31)/Datos!W31," - ")</f>
        <v>0.20786516853932585</v>
      </c>
      <c r="I31" s="408">
        <f>IF(ISNUMBER((Tasas!C31-Datos!BE31)/Datos!BE31),(Tasas!C31-Datos!BE31)/Datos!BE31," - ")</f>
        <v>2.4681725235976011E-2</v>
      </c>
      <c r="J31" s="409">
        <f>IF(ISNUMBER((Tasas!D31-Datos!BF31)/Datos!BF31),(Tasas!D31-Datos!BF31)/Datos!BF31," - ")</f>
        <v>-0.36176716723232133</v>
      </c>
      <c r="K31" s="410">
        <f>IF(ISNUMBER((Tasas!E31-Datos!BG31)/Datos!BG31),(Tasas!E31-Datos!BG31)/Datos!BG31," - ")</f>
        <v>1.5885028856868655E-2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0.23183842736626817</v>
      </c>
      <c r="E33" s="303">
        <f t="shared" si="1"/>
        <v>0.2959361774410954</v>
      </c>
      <c r="F33" s="303">
        <f t="shared" si="1"/>
        <v>0.43175560881014668</v>
      </c>
      <c r="G33" s="304">
        <f t="shared" si="1"/>
        <v>0.17255094302344468</v>
      </c>
      <c r="H33" s="310">
        <f t="shared" si="1"/>
        <v>0.11842503787980002</v>
      </c>
      <c r="I33" s="302">
        <f t="shared" si="1"/>
        <v>0.27942864170569637</v>
      </c>
      <c r="J33" s="303">
        <f t="shared" si="1"/>
        <v>0.54840023111503278</v>
      </c>
      <c r="K33" s="304">
        <f t="shared" si="1"/>
        <v>0.17462404395956396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5lVYf9oTLy2BQtsI+yruIgVumAf9cufcNJ045f/sbgdhsmTKW6UvByk4nevn4dtO0efHa9fkGc9zOp3enFWhA==" saltValue="j1PeapSGnMPYfZykMoAi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